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Lychees estab &amp; prod.costs" sheetId="1" r:id="rId1"/>
    <sheet name="Lychees summary of costs and re" sheetId="2" r:id="rId2"/>
    <sheet name="Lychees Range Analysis " sheetId="3" r:id="rId3"/>
  </sheets>
  <definedNames>
    <definedName name="_xlnm.Print_Area" localSheetId="0">'Lychees estab &amp; prod.costs'!$A$1:$Q$79</definedName>
  </definedNames>
  <calcPr fullCalcOnLoad="1"/>
</workbook>
</file>

<file path=xl/sharedStrings.xml><?xml version="1.0" encoding="utf-8"?>
<sst xmlns="http://schemas.openxmlformats.org/spreadsheetml/2006/main" count="226" uniqueCount="125">
  <si>
    <t>Year 1</t>
  </si>
  <si>
    <t>Year 2</t>
  </si>
  <si>
    <t>Year 3</t>
  </si>
  <si>
    <t>Year 4</t>
  </si>
  <si>
    <t>Year 5</t>
  </si>
  <si>
    <t>Year 6</t>
  </si>
  <si>
    <t>Production Year</t>
  </si>
  <si>
    <t>Operation</t>
  </si>
  <si>
    <t>$/</t>
  </si>
  <si>
    <t>Quant.</t>
  </si>
  <si>
    <t>Unit</t>
  </si>
  <si>
    <t>/Acre</t>
  </si>
  <si>
    <t>$/Acre</t>
  </si>
  <si>
    <t>VARIABLE COSTS</t>
  </si>
  <si>
    <t>hr</t>
  </si>
  <si>
    <t>Soil Test</t>
  </si>
  <si>
    <t>plant</t>
  </si>
  <si>
    <t>Insect Control</t>
  </si>
  <si>
    <t>Fertilization</t>
  </si>
  <si>
    <t>lb</t>
  </si>
  <si>
    <t>Irrigation</t>
  </si>
  <si>
    <t>Harvest</t>
  </si>
  <si>
    <t>flat</t>
  </si>
  <si>
    <t>Accumulated Establishment Cost</t>
  </si>
  <si>
    <t>Year</t>
  </si>
  <si>
    <t>Coastal Regions of California, 2002</t>
  </si>
  <si>
    <t>Total Gross Returns</t>
  </si>
  <si>
    <t>ac</t>
  </si>
  <si>
    <t>Returns to Management</t>
  </si>
  <si>
    <t xml:space="preserve">Plants </t>
  </si>
  <si>
    <t>----------------------------------------------------$/acre---------------------------------------</t>
  </si>
  <si>
    <t>Operating costs/acre:</t>
  </si>
  <si>
    <t>Cultural Costs</t>
  </si>
  <si>
    <t>TOTAL OPERATING COSTS/ACRE</t>
  </si>
  <si>
    <t>TOTAL OPERATING COSTS/POUND</t>
  </si>
  <si>
    <t>CASH OVERHEAD COSTS/ACRE</t>
  </si>
  <si>
    <t>TOTAL CASH COSTS/ACRE</t>
  </si>
  <si>
    <t>NON-CASH OVERHEAD COSTS/ACRE</t>
  </si>
  <si>
    <t>TOTAL COSTS/ACRE</t>
  </si>
  <si>
    <t>Part B. Returns per acre above operating costs</t>
  </si>
  <si>
    <t>Price ($/pound):</t>
  </si>
  <si>
    <t>Total Cultural Costs</t>
  </si>
  <si>
    <t>Total Harvest Costs</t>
  </si>
  <si>
    <t>Office expense</t>
  </si>
  <si>
    <t>Total Cash Overhead Costs</t>
  </si>
  <si>
    <t>Harvest labor &amp; material</t>
  </si>
  <si>
    <t>Harvest machine &amp; mach.lab.</t>
  </si>
  <si>
    <t>Total Non-Cash Overhead Costs</t>
  </si>
  <si>
    <t>Part C. Returns per acre above all cash costs (gross margin analysis)</t>
  </si>
  <si>
    <t>Projected Establishment and Production Costs and Returns for Lychees</t>
  </si>
  <si>
    <t>Rip field (custom)</t>
  </si>
  <si>
    <t>Machine (fuel, lube, &amp; repair)</t>
  </si>
  <si>
    <t>Manual labor</t>
  </si>
  <si>
    <t>Machine labor</t>
  </si>
  <si>
    <t>Load &amp; haul</t>
  </si>
  <si>
    <t>CASH OVERHEAD COSTS</t>
  </si>
  <si>
    <t>Property taxes &amp; insurance</t>
  </si>
  <si>
    <t>Investment repairs</t>
  </si>
  <si>
    <t xml:space="preserve">  Depr. &amp; int. irrig. system</t>
  </si>
  <si>
    <t>Interest on investment @ 8.5%</t>
  </si>
  <si>
    <t>Part D.  Returns above all costs (returns to management analysis)</t>
  </si>
  <si>
    <t xml:space="preserve"> </t>
  </si>
  <si>
    <t>Brewster Yield: lbs/tree</t>
  </si>
  <si>
    <t>Orchard Layout</t>
  </si>
  <si>
    <t xml:space="preserve">Irrigation System Set up </t>
  </si>
  <si>
    <t>Round-up row &amp; spot spray</t>
  </si>
  <si>
    <t>Machine &amp; spot spray labor</t>
  </si>
  <si>
    <t xml:space="preserve">Oil spray for scale </t>
  </si>
  <si>
    <t>qt</t>
  </si>
  <si>
    <t>Interest on operating capital</t>
  </si>
  <si>
    <t>Land rent</t>
  </si>
  <si>
    <t>Lychees establishment and production costs and returns cont. (page 2)</t>
  </si>
  <si>
    <t>Land prep. replacing trees</t>
  </si>
  <si>
    <t>Picking &amp; packing</t>
  </si>
  <si>
    <t>Containers (5 lb flat) 80% pack out</t>
  </si>
  <si>
    <t>NON-CASH OVERHEAD/OWNERSHIP COSTS</t>
  </si>
  <si>
    <t>Total of all Costs</t>
  </si>
  <si>
    <t>Planting Space of 16'x20' or 136 plants/acre, Labor Wages @ $12/hr</t>
  </si>
  <si>
    <t>Field Preparation (same as strawberry)</t>
  </si>
  <si>
    <t xml:space="preserve">Spacing </t>
  </si>
  <si>
    <t>16' x 20'</t>
  </si>
  <si>
    <t xml:space="preserve">Planting </t>
  </si>
  <si>
    <t>GROSS RETURNS</t>
  </si>
  <si>
    <t>Top, Hedge, &amp; Prune (1/2 Lemon hr)</t>
  </si>
  <si>
    <t>Yield: lbs/tree</t>
  </si>
  <si>
    <t>Yield: lbs/acre</t>
  </si>
  <si>
    <t>Prod.</t>
  </si>
  <si>
    <t>Yield/tree</t>
  </si>
  <si>
    <t>Yield/acre</t>
  </si>
  <si>
    <t>Price/lb</t>
  </si>
  <si>
    <t>Cultural</t>
  </si>
  <si>
    <t>Harvest:  picking, packing, &amp; containers</t>
  </si>
  <si>
    <t>Cultural: material, labor, machinery (fuel, lube and repair) for planting, fertilization, pest, &amp; disease control</t>
  </si>
  <si>
    <t>Summary of the establishment and production costs and returns for Lychees</t>
  </si>
  <si>
    <t>Cash overhead</t>
  </si>
  <si>
    <t>Non-cash overhead</t>
  </si>
  <si>
    <t xml:space="preserve">Total costs </t>
  </si>
  <si>
    <t>Returns to management</t>
  </si>
  <si>
    <t>Accumulated establishment cost</t>
  </si>
  <si>
    <t>Cash overhead: interest on investment, property taxes, insurance, &amp; office expenses</t>
  </si>
  <si>
    <t>Non-cash overhead: land rent, investment, &amp; machinery fixed costs</t>
  </si>
  <si>
    <t>Gross returns /acre</t>
  </si>
  <si>
    <t xml:space="preserve">  Miscellaneous (tools etc.)</t>
  </si>
  <si>
    <t xml:space="preserve">  Depr. &amp; int. on mach., equip., build.</t>
  </si>
  <si>
    <t xml:space="preserve">  Amortized establishment (30 years)</t>
  </si>
  <si>
    <t xml:space="preserve">Yield (lb/ac) &amp; Returns ($/ac) </t>
  </si>
  <si>
    <t>Prices: (LA $1/lb to $4/lb at wholesale)</t>
  </si>
  <si>
    <t>&amp; (Florida Cost Study $1.25/lb)</t>
  </si>
  <si>
    <t>Labor (as lemons, 10 min/plant)</t>
  </si>
  <si>
    <t>6 establishment and 30 production years</t>
  </si>
  <si>
    <t>Zinc sulfate (as for lemon trees)</t>
  </si>
  <si>
    <t>Manganese Sulfate (as for lemon trees)</t>
  </si>
  <si>
    <t>Water (as for lemon trees)</t>
  </si>
  <si>
    <t>Labor - micro nutrients spray</t>
  </si>
  <si>
    <t>Sell fresh (?)</t>
  </si>
  <si>
    <t>TOTAL CASH COSTS/POUND (GROSS</t>
  </si>
  <si>
    <t>MARGIN BREAKEVEN)</t>
  </si>
  <si>
    <t>TOTAL COSTS/POUND (RETURNS TO</t>
  </si>
  <si>
    <t>MANAGEMENT BREAKEVEN)</t>
  </si>
  <si>
    <t>Weed Control (as in lemon trees)</t>
  </si>
  <si>
    <t>N (1/2 as lemons)---urea</t>
  </si>
  <si>
    <t>ac in</t>
  </si>
  <si>
    <t>Manual labor (frequency of irrg.?)</t>
  </si>
  <si>
    <t>Lychees Profitability Analysis</t>
  </si>
  <si>
    <t>Part A. Cost per acre and per pound at varying yield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</si>
</sst>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0"/>
    <numFmt numFmtId="169" formatCode="#,##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5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2" fillId="0" borderId="4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7" fillId="0" borderId="0" xfId="0" applyFont="1" applyAlignment="1">
      <alignment horizontal="left" indent="1"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2" fillId="2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5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2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 indent="1"/>
    </xf>
    <xf numFmtId="2" fontId="1" fillId="2" borderId="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7" fillId="0" borderId="0" xfId="0" applyNumberFormat="1" applyFont="1" applyAlignment="1">
      <alignment horizontal="left" indent="1"/>
    </xf>
    <xf numFmtId="0" fontId="7" fillId="0" borderId="8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2" fontId="1" fillId="0" borderId="3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left" indent="1"/>
    </xf>
    <xf numFmtId="2" fontId="5" fillId="0" borderId="7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1" fillId="0" borderId="3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4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right"/>
    </xf>
    <xf numFmtId="0" fontId="0" fillId="0" borderId="7" xfId="0" applyBorder="1" applyAlignment="1">
      <alignment/>
    </xf>
    <xf numFmtId="1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8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2" fontId="7" fillId="0" borderId="0" xfId="0" applyNumberFormat="1" applyFont="1" applyAlignment="1">
      <alignment horizontal="left" indent="4"/>
    </xf>
    <xf numFmtId="3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left" indent="3"/>
    </xf>
    <xf numFmtId="0" fontId="7" fillId="0" borderId="0" xfId="0" applyFont="1" applyAlignment="1">
      <alignment horizontal="left" indent="3"/>
    </xf>
    <xf numFmtId="2" fontId="7" fillId="0" borderId="8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left" indent="4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9.00390625" style="69" customWidth="1"/>
    <col min="2" max="2" width="3.7109375" style="64" customWidth="1"/>
    <col min="3" max="4" width="5.7109375" style="64" customWidth="1"/>
    <col min="5" max="5" width="6.28125" style="69" customWidth="1"/>
    <col min="6" max="9" width="5.7109375" style="69" customWidth="1"/>
    <col min="10" max="10" width="6.28125" style="69" customWidth="1"/>
    <col min="11" max="11" width="7.7109375" style="69" customWidth="1"/>
    <col min="12" max="12" width="6.28125" style="69" customWidth="1"/>
    <col min="13" max="13" width="7.7109375" style="69" customWidth="1"/>
    <col min="14" max="14" width="6.28125" style="69" customWidth="1"/>
    <col min="15" max="15" width="7.7109375" style="69" customWidth="1"/>
    <col min="16" max="16" width="6.28125" style="69" customWidth="1"/>
    <col min="17" max="17" width="7.7109375" style="69" customWidth="1"/>
    <col min="18" max="16384" width="9.140625" style="69" customWidth="1"/>
  </cols>
  <sheetData>
    <row r="1" spans="1:17" s="68" customFormat="1" ht="12.75">
      <c r="A1" s="157" t="s">
        <v>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s="68" customFormat="1" ht="12.75">
      <c r="A2" s="157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s="68" customFormat="1" ht="12.75">
      <c r="A3" s="157" t="s">
        <v>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s="68" customFormat="1" ht="12.75">
      <c r="A4" s="158" t="s">
        <v>109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2.75">
      <c r="A5" s="2"/>
      <c r="B5" s="41"/>
      <c r="C5" s="41"/>
      <c r="D5" s="146" t="s">
        <v>0</v>
      </c>
      <c r="E5" s="147"/>
      <c r="F5" s="146" t="s">
        <v>1</v>
      </c>
      <c r="G5" s="147"/>
      <c r="H5" s="146" t="s">
        <v>2</v>
      </c>
      <c r="I5" s="147"/>
      <c r="J5" s="146" t="s">
        <v>3</v>
      </c>
      <c r="K5" s="147"/>
      <c r="L5" s="146" t="s">
        <v>4</v>
      </c>
      <c r="M5" s="147"/>
      <c r="N5" s="146" t="s">
        <v>5</v>
      </c>
      <c r="O5" s="147"/>
      <c r="P5" s="148" t="s">
        <v>6</v>
      </c>
      <c r="Q5" s="147"/>
    </row>
    <row r="6" spans="1:17" ht="12.75">
      <c r="A6" s="1" t="s">
        <v>7</v>
      </c>
      <c r="B6" s="41"/>
      <c r="C6" s="41" t="s">
        <v>8</v>
      </c>
      <c r="D6" s="41" t="s">
        <v>9</v>
      </c>
      <c r="E6" s="82"/>
      <c r="F6" s="41" t="s">
        <v>9</v>
      </c>
      <c r="G6" s="33"/>
      <c r="H6" s="41" t="s">
        <v>9</v>
      </c>
      <c r="I6" s="33"/>
      <c r="J6" s="41" t="s">
        <v>9</v>
      </c>
      <c r="K6" s="33"/>
      <c r="L6" s="41" t="s">
        <v>9</v>
      </c>
      <c r="M6" s="33"/>
      <c r="N6" s="41" t="s">
        <v>9</v>
      </c>
      <c r="O6" s="77"/>
      <c r="P6" s="34" t="s">
        <v>9</v>
      </c>
      <c r="Q6" s="34"/>
    </row>
    <row r="7" spans="1:17" ht="12.75">
      <c r="A7" s="3"/>
      <c r="B7" s="41" t="s">
        <v>10</v>
      </c>
      <c r="C7" s="41" t="s">
        <v>10</v>
      </c>
      <c r="D7" s="41" t="s">
        <v>11</v>
      </c>
      <c r="E7" s="33" t="s">
        <v>12</v>
      </c>
      <c r="F7" s="41" t="s">
        <v>11</v>
      </c>
      <c r="G7" s="33" t="s">
        <v>12</v>
      </c>
      <c r="H7" s="41" t="s">
        <v>11</v>
      </c>
      <c r="I7" s="33" t="s">
        <v>12</v>
      </c>
      <c r="J7" s="41" t="s">
        <v>11</v>
      </c>
      <c r="K7" s="33" t="s">
        <v>12</v>
      </c>
      <c r="L7" s="41" t="s">
        <v>11</v>
      </c>
      <c r="M7" s="33" t="s">
        <v>12</v>
      </c>
      <c r="N7" s="41" t="s">
        <v>11</v>
      </c>
      <c r="O7" s="77" t="s">
        <v>12</v>
      </c>
      <c r="P7" s="78" t="s">
        <v>11</v>
      </c>
      <c r="Q7" s="78" t="s">
        <v>12</v>
      </c>
    </row>
    <row r="8" spans="1:17" ht="12.75">
      <c r="A8" s="43" t="s">
        <v>62</v>
      </c>
      <c r="B8" s="42"/>
      <c r="C8" s="42"/>
      <c r="D8" s="42"/>
      <c r="E8" s="42"/>
      <c r="F8" s="42"/>
      <c r="G8" s="89"/>
      <c r="H8" s="42"/>
      <c r="I8" s="54"/>
      <c r="J8" s="90">
        <f>+J11/$D$27</f>
        <v>15</v>
      </c>
      <c r="K8" s="90"/>
      <c r="L8" s="90">
        <f>+L11/$D$27</f>
        <v>25</v>
      </c>
      <c r="M8" s="90"/>
      <c r="N8" s="90">
        <f>+N11/$D$27</f>
        <v>30</v>
      </c>
      <c r="O8" s="90"/>
      <c r="P8" s="90">
        <f>+P11/$D$27</f>
        <v>40</v>
      </c>
      <c r="Q8" s="90"/>
    </row>
    <row r="9" spans="1:17" ht="12.75">
      <c r="A9" s="149" t="s">
        <v>82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1"/>
    </row>
    <row r="10" spans="1:17" ht="12.75">
      <c r="A10" s="79" t="s">
        <v>105</v>
      </c>
      <c r="B10" s="34"/>
      <c r="C10" s="34"/>
      <c r="D10" s="77"/>
      <c r="E10" s="34"/>
      <c r="F10" s="77"/>
      <c r="G10" s="34"/>
      <c r="H10" s="77"/>
      <c r="I10" s="34"/>
      <c r="J10" s="77"/>
      <c r="K10" s="34"/>
      <c r="L10" s="77"/>
      <c r="M10" s="34"/>
      <c r="N10" s="77"/>
      <c r="O10" s="34"/>
      <c r="P10" s="77"/>
      <c r="Q10" s="34"/>
    </row>
    <row r="11" spans="1:17" ht="12.75">
      <c r="A11" s="95" t="s">
        <v>106</v>
      </c>
      <c r="B11" s="6" t="s">
        <v>19</v>
      </c>
      <c r="C11" s="7">
        <v>1.25</v>
      </c>
      <c r="D11" s="14"/>
      <c r="E11" s="6"/>
      <c r="F11" s="6" t="s">
        <v>61</v>
      </c>
      <c r="H11" s="70"/>
      <c r="J11" s="8">
        <f>15*D27</f>
        <v>2040</v>
      </c>
      <c r="K11" s="8">
        <f>$C$11*J11</f>
        <v>2550</v>
      </c>
      <c r="L11" s="8">
        <f>25*D27</f>
        <v>3400</v>
      </c>
      <c r="M11" s="8">
        <f>$C$11*L11</f>
        <v>4250</v>
      </c>
      <c r="N11" s="8">
        <f>30*D27</f>
        <v>4080</v>
      </c>
      <c r="O11" s="8">
        <f>$C$11*N11</f>
        <v>5100</v>
      </c>
      <c r="P11" s="8">
        <f>40*D27</f>
        <v>5440</v>
      </c>
      <c r="Q11" s="8">
        <f>$C$11*P11</f>
        <v>6800</v>
      </c>
    </row>
    <row r="12" spans="1:17" ht="12.75">
      <c r="A12" s="95" t="s">
        <v>107</v>
      </c>
      <c r="B12" s="6"/>
      <c r="C12" s="7"/>
      <c r="D12" s="14"/>
      <c r="E12" s="6"/>
      <c r="F12" s="6" t="s">
        <v>61</v>
      </c>
      <c r="G12" s="66"/>
      <c r="H12" s="67"/>
      <c r="I12" s="4"/>
      <c r="J12" s="8"/>
      <c r="K12" s="8"/>
      <c r="L12" s="8"/>
      <c r="M12" s="8"/>
      <c r="N12" s="8"/>
      <c r="O12" s="8"/>
      <c r="P12" s="8"/>
      <c r="Q12" s="8"/>
    </row>
    <row r="13" spans="1:17" s="55" customFormat="1" ht="12.75">
      <c r="A13" s="80" t="s">
        <v>26</v>
      </c>
      <c r="B13" s="40"/>
      <c r="C13" s="91"/>
      <c r="D13" s="57"/>
      <c r="E13" s="84"/>
      <c r="F13" s="57"/>
      <c r="G13" s="92"/>
      <c r="H13" s="93"/>
      <c r="I13" s="94"/>
      <c r="J13" s="57">
        <f aca="true" t="shared" si="0" ref="J13:Q13">SUM(J11:J11)</f>
        <v>2040</v>
      </c>
      <c r="K13" s="57">
        <f t="shared" si="0"/>
        <v>2550</v>
      </c>
      <c r="L13" s="57">
        <f t="shared" si="0"/>
        <v>3400</v>
      </c>
      <c r="M13" s="57">
        <f t="shared" si="0"/>
        <v>4250</v>
      </c>
      <c r="N13" s="57">
        <f t="shared" si="0"/>
        <v>4080</v>
      </c>
      <c r="O13" s="57">
        <f t="shared" si="0"/>
        <v>5100</v>
      </c>
      <c r="P13" s="57">
        <f t="shared" si="0"/>
        <v>5440</v>
      </c>
      <c r="Q13" s="57">
        <f t="shared" si="0"/>
        <v>6800</v>
      </c>
    </row>
    <row r="14" spans="1:17" ht="12.75">
      <c r="A14" s="152" t="s">
        <v>13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</row>
    <row r="15" spans="1:17" ht="12.75">
      <c r="A15" s="44" t="s">
        <v>78</v>
      </c>
      <c r="B15" s="6"/>
      <c r="C15" s="7"/>
      <c r="D15" s="4"/>
      <c r="E15" s="6"/>
      <c r="F15" s="6"/>
      <c r="G15" s="6"/>
      <c r="H15" s="6"/>
      <c r="I15" s="13"/>
      <c r="J15" s="5"/>
      <c r="K15" s="5"/>
      <c r="L15" s="5"/>
      <c r="M15" s="5"/>
      <c r="N15" s="5"/>
      <c r="O15" s="5"/>
      <c r="P15" s="5"/>
      <c r="Q15" s="5"/>
    </row>
    <row r="16" spans="1:17" ht="12.75">
      <c r="A16" s="95" t="s">
        <v>50</v>
      </c>
      <c r="B16" s="6" t="s">
        <v>27</v>
      </c>
      <c r="C16" s="24">
        <v>375</v>
      </c>
      <c r="D16" s="4">
        <v>1</v>
      </c>
      <c r="E16" s="6">
        <f>+C16*D16</f>
        <v>375</v>
      </c>
      <c r="F16" s="4"/>
      <c r="G16" s="6"/>
      <c r="H16" s="4"/>
      <c r="I16" s="13"/>
      <c r="J16" s="4"/>
      <c r="K16" s="8"/>
      <c r="L16" s="4"/>
      <c r="M16" s="6"/>
      <c r="N16" s="4"/>
      <c r="O16" s="6"/>
      <c r="P16" s="4"/>
      <c r="Q16" s="6"/>
    </row>
    <row r="17" spans="1:17" ht="12.75">
      <c r="A17" s="16" t="s">
        <v>63</v>
      </c>
      <c r="B17" s="6"/>
      <c r="C17" s="24"/>
      <c r="D17" s="4"/>
      <c r="E17" s="6"/>
      <c r="F17" s="4"/>
      <c r="G17" s="6"/>
      <c r="H17" s="4"/>
      <c r="I17" s="13"/>
      <c r="J17" s="4"/>
      <c r="K17" s="6"/>
      <c r="L17" s="4"/>
      <c r="M17" s="6"/>
      <c r="N17" s="4"/>
      <c r="O17" s="6"/>
      <c r="P17" s="4"/>
      <c r="Q17" s="6"/>
    </row>
    <row r="18" spans="1:17" ht="12.75">
      <c r="A18" s="39" t="s">
        <v>53</v>
      </c>
      <c r="B18" s="6" t="s">
        <v>14</v>
      </c>
      <c r="C18" s="24">
        <v>12</v>
      </c>
      <c r="D18" s="4">
        <f>1.1*D19</f>
        <v>0.55</v>
      </c>
      <c r="E18" s="6">
        <f>+C18*D18</f>
        <v>6.6000000000000005</v>
      </c>
      <c r="F18" s="4"/>
      <c r="G18" s="6"/>
      <c r="H18" s="4"/>
      <c r="I18" s="13"/>
      <c r="J18" s="4"/>
      <c r="K18" s="6"/>
      <c r="L18" s="4"/>
      <c r="M18" s="6"/>
      <c r="N18" s="4"/>
      <c r="O18" s="6"/>
      <c r="P18" s="4"/>
      <c r="Q18" s="6"/>
    </row>
    <row r="19" spans="1:17" ht="12.75">
      <c r="A19" s="39" t="s">
        <v>51</v>
      </c>
      <c r="B19" s="6" t="s">
        <v>14</v>
      </c>
      <c r="C19" s="24">
        <v>14</v>
      </c>
      <c r="D19" s="4">
        <v>0.5</v>
      </c>
      <c r="E19" s="6">
        <f>+C19*D19</f>
        <v>7</v>
      </c>
      <c r="F19" s="4"/>
      <c r="G19" s="6"/>
      <c r="H19" s="4"/>
      <c r="I19" s="13"/>
      <c r="J19" s="4"/>
      <c r="K19" s="6"/>
      <c r="L19" s="4"/>
      <c r="M19" s="6"/>
      <c r="N19" s="4"/>
      <c r="O19" s="6"/>
      <c r="P19" s="4"/>
      <c r="Q19" s="6"/>
    </row>
    <row r="20" spans="1:17" s="64" customFormat="1" ht="12.75">
      <c r="A20" s="16" t="s">
        <v>15</v>
      </c>
      <c r="B20" s="6" t="s">
        <v>27</v>
      </c>
      <c r="C20" s="24">
        <v>5</v>
      </c>
      <c r="D20" s="4">
        <v>1</v>
      </c>
      <c r="E20" s="6">
        <f>$C$20*D20</f>
        <v>5</v>
      </c>
      <c r="F20" s="4">
        <v>1</v>
      </c>
      <c r="G20" s="6">
        <f>$C$20*F20</f>
        <v>5</v>
      </c>
      <c r="H20" s="4">
        <v>1</v>
      </c>
      <c r="I20" s="6">
        <f>$C$20*H20</f>
        <v>5</v>
      </c>
      <c r="J20" s="4">
        <v>1</v>
      </c>
      <c r="K20" s="6">
        <f>$C$20*J20</f>
        <v>5</v>
      </c>
      <c r="L20" s="4">
        <v>1</v>
      </c>
      <c r="M20" s="6">
        <f>$C$20*L20</f>
        <v>5</v>
      </c>
      <c r="N20" s="4">
        <v>1</v>
      </c>
      <c r="O20" s="6">
        <f>$C$20*N20</f>
        <v>5</v>
      </c>
      <c r="P20" s="4">
        <v>1</v>
      </c>
      <c r="Q20" s="6">
        <f>$C$20*P20</f>
        <v>5</v>
      </c>
    </row>
    <row r="21" spans="1:17" ht="12.75">
      <c r="A21" s="16" t="s">
        <v>64</v>
      </c>
      <c r="B21" s="6"/>
      <c r="C21" s="24"/>
      <c r="D21" s="4"/>
      <c r="E21" s="6"/>
      <c r="F21" s="12"/>
      <c r="G21" s="6"/>
      <c r="H21" s="12"/>
      <c r="I21" s="4"/>
      <c r="J21" s="12"/>
      <c r="K21" s="6"/>
      <c r="L21" s="12"/>
      <c r="M21" s="6"/>
      <c r="N21" s="12"/>
      <c r="O21" s="6"/>
      <c r="P21" s="12"/>
      <c r="Q21" s="6"/>
    </row>
    <row r="22" spans="1:17" ht="12.75">
      <c r="A22" s="95" t="s">
        <v>52</v>
      </c>
      <c r="B22" s="6" t="s">
        <v>14</v>
      </c>
      <c r="C22" s="24">
        <v>12</v>
      </c>
      <c r="D22" s="4">
        <v>9</v>
      </c>
      <c r="E22" s="6">
        <f>+C22*D22</f>
        <v>108</v>
      </c>
      <c r="F22" s="12"/>
      <c r="G22" s="6"/>
      <c r="H22" s="12"/>
      <c r="I22" s="4"/>
      <c r="J22" s="12"/>
      <c r="K22" s="6"/>
      <c r="L22" s="12"/>
      <c r="M22" s="6"/>
      <c r="N22" s="12"/>
      <c r="O22" s="6"/>
      <c r="P22" s="12"/>
      <c r="Q22" s="6"/>
    </row>
    <row r="23" spans="1:17" ht="12.75">
      <c r="A23" s="39" t="s">
        <v>53</v>
      </c>
      <c r="B23" s="6" t="s">
        <v>14</v>
      </c>
      <c r="C23" s="24">
        <v>12</v>
      </c>
      <c r="D23" s="4">
        <f>1.1*D24</f>
        <v>0.55</v>
      </c>
      <c r="E23" s="6">
        <f>+C23*D23</f>
        <v>6.6000000000000005</v>
      </c>
      <c r="F23" s="12"/>
      <c r="G23" s="6"/>
      <c r="H23" s="12"/>
      <c r="I23" s="4"/>
      <c r="J23" s="12"/>
      <c r="K23" s="6"/>
      <c r="L23" s="12"/>
      <c r="M23" s="6"/>
      <c r="N23" s="12"/>
      <c r="O23" s="6"/>
      <c r="P23" s="12"/>
      <c r="Q23" s="6"/>
    </row>
    <row r="24" spans="1:17" ht="12.75">
      <c r="A24" s="39" t="s">
        <v>51</v>
      </c>
      <c r="B24" s="6" t="s">
        <v>14</v>
      </c>
      <c r="C24" s="24">
        <f>+C19</f>
        <v>14</v>
      </c>
      <c r="D24" s="4">
        <v>0.5</v>
      </c>
      <c r="E24" s="6">
        <f>+C24*D24</f>
        <v>7</v>
      </c>
      <c r="F24" s="12"/>
      <c r="G24" s="6"/>
      <c r="H24" s="12"/>
      <c r="I24" s="4"/>
      <c r="J24" s="12"/>
      <c r="K24" s="6"/>
      <c r="L24" s="12"/>
      <c r="M24" s="6"/>
      <c r="N24" s="12"/>
      <c r="O24" s="6"/>
      <c r="P24" s="12"/>
      <c r="Q24" s="6"/>
    </row>
    <row r="25" spans="1:17" ht="12.75">
      <c r="A25" s="16" t="s">
        <v>81</v>
      </c>
      <c r="B25" s="6"/>
      <c r="C25" s="24"/>
      <c r="D25" s="4"/>
      <c r="E25" s="6"/>
      <c r="F25" s="6"/>
      <c r="G25" s="6"/>
      <c r="H25" s="6"/>
      <c r="I25" s="13"/>
      <c r="J25" s="6"/>
      <c r="K25" s="6"/>
      <c r="L25" s="6"/>
      <c r="M25" s="6"/>
      <c r="N25" s="6"/>
      <c r="O25" s="6"/>
      <c r="P25" s="6"/>
      <c r="Q25" s="6"/>
    </row>
    <row r="26" spans="1:17" ht="12.75">
      <c r="A26" s="112" t="s">
        <v>79</v>
      </c>
      <c r="B26" s="6" t="s">
        <v>80</v>
      </c>
      <c r="C26" s="24"/>
      <c r="D26" s="4"/>
      <c r="E26" s="6"/>
      <c r="F26" s="4"/>
      <c r="G26" s="6"/>
      <c r="H26" s="6"/>
      <c r="I26" s="13"/>
      <c r="J26" s="6"/>
      <c r="K26" s="6"/>
      <c r="L26" s="6"/>
      <c r="M26" s="6"/>
      <c r="N26" s="6"/>
      <c r="O26" s="6"/>
      <c r="P26" s="6"/>
      <c r="Q26" s="6"/>
    </row>
    <row r="27" spans="1:17" ht="12.75">
      <c r="A27" s="95" t="s">
        <v>29</v>
      </c>
      <c r="B27" s="6" t="s">
        <v>16</v>
      </c>
      <c r="C27" s="24">
        <v>25</v>
      </c>
      <c r="D27" s="4">
        <v>136</v>
      </c>
      <c r="E27" s="8">
        <f>+C27*D27</f>
        <v>3400</v>
      </c>
      <c r="F27" s="4">
        <v>7</v>
      </c>
      <c r="G27" s="6">
        <f>+F27*C27</f>
        <v>175</v>
      </c>
      <c r="H27" s="6"/>
      <c r="I27" s="13"/>
      <c r="J27" s="6"/>
      <c r="K27" s="6"/>
      <c r="L27" s="6"/>
      <c r="M27" s="6"/>
      <c r="N27" s="6"/>
      <c r="O27" s="6"/>
      <c r="P27" s="6"/>
      <c r="Q27" s="6"/>
    </row>
    <row r="28" spans="1:17" ht="12.75">
      <c r="A28" s="95" t="s">
        <v>108</v>
      </c>
      <c r="B28" s="6" t="s">
        <v>16</v>
      </c>
      <c r="C28" s="24">
        <v>12</v>
      </c>
      <c r="D28" s="15">
        <f>(10*D27)/60</f>
        <v>22.666666666666668</v>
      </c>
      <c r="E28" s="6">
        <f>+C28*D28</f>
        <v>272</v>
      </c>
      <c r="F28" s="17">
        <f>+(7*10)/60</f>
        <v>1.1666666666666667</v>
      </c>
      <c r="G28" s="70">
        <f>+F28*C28</f>
        <v>14</v>
      </c>
      <c r="H28" s="70"/>
      <c r="J28" s="6"/>
      <c r="K28" s="6"/>
      <c r="L28" s="6"/>
      <c r="M28" s="6"/>
      <c r="N28" s="6"/>
      <c r="O28" s="6"/>
      <c r="P28" s="6"/>
      <c r="Q28" s="6"/>
    </row>
    <row r="29" spans="1:17" ht="12.75">
      <c r="A29" s="95" t="s">
        <v>72</v>
      </c>
      <c r="B29" s="6" t="s">
        <v>14</v>
      </c>
      <c r="C29" s="24">
        <v>12</v>
      </c>
      <c r="D29" s="14"/>
      <c r="E29" s="6"/>
      <c r="F29" s="4">
        <v>0.5</v>
      </c>
      <c r="G29" s="6">
        <f>+F29*C29</f>
        <v>6</v>
      </c>
      <c r="H29" s="4"/>
      <c r="I29" s="13"/>
      <c r="J29" s="6"/>
      <c r="K29" s="6"/>
      <c r="L29" s="6"/>
      <c r="M29" s="6"/>
      <c r="N29" s="6"/>
      <c r="O29" s="6"/>
      <c r="P29" s="6"/>
      <c r="Q29" s="6"/>
    </row>
    <row r="30" spans="1:17" ht="12.75">
      <c r="A30" s="39" t="s">
        <v>53</v>
      </c>
      <c r="B30" s="6" t="s">
        <v>14</v>
      </c>
      <c r="C30" s="24">
        <v>12</v>
      </c>
      <c r="D30" s="14">
        <f>1.1*D31</f>
        <v>0.55</v>
      </c>
      <c r="E30" s="6">
        <f>+C30*D30</f>
        <v>6.6000000000000005</v>
      </c>
      <c r="F30" s="15"/>
      <c r="G30" s="6"/>
      <c r="H30" s="6"/>
      <c r="I30" s="13"/>
      <c r="J30" s="6"/>
      <c r="K30" s="6"/>
      <c r="L30" s="6"/>
      <c r="M30" s="6"/>
      <c r="N30" s="6"/>
      <c r="O30" s="6"/>
      <c r="P30" s="6"/>
      <c r="Q30" s="6"/>
    </row>
    <row r="31" spans="1:17" ht="12.75">
      <c r="A31" s="39" t="s">
        <v>51</v>
      </c>
      <c r="B31" s="6" t="s">
        <v>14</v>
      </c>
      <c r="C31" s="24">
        <f>+C19</f>
        <v>14</v>
      </c>
      <c r="D31" s="14">
        <v>0.5</v>
      </c>
      <c r="E31" s="6">
        <f>+C31*D31</f>
        <v>7</v>
      </c>
      <c r="F31" s="14"/>
      <c r="G31" s="6"/>
      <c r="H31" s="6"/>
      <c r="I31" s="13"/>
      <c r="J31" s="6"/>
      <c r="K31" s="6"/>
      <c r="L31" s="6"/>
      <c r="M31" s="6"/>
      <c r="N31" s="6"/>
      <c r="O31" s="6"/>
      <c r="P31" s="6"/>
      <c r="Q31" s="6"/>
    </row>
    <row r="32" spans="1:17" ht="12.75">
      <c r="A32" s="16" t="s">
        <v>119</v>
      </c>
      <c r="B32" s="6"/>
      <c r="C32" s="24"/>
      <c r="D32" s="11"/>
      <c r="E32" s="6"/>
      <c r="F32" s="6"/>
      <c r="G32" s="6"/>
      <c r="H32" s="6"/>
      <c r="I32" s="13"/>
      <c r="J32" s="6"/>
      <c r="K32" s="6"/>
      <c r="L32" s="6"/>
      <c r="M32" s="6"/>
      <c r="N32" s="6"/>
      <c r="O32" s="6"/>
      <c r="P32" s="6"/>
      <c r="Q32" s="6"/>
    </row>
    <row r="33" spans="1:17" ht="12.75">
      <c r="A33" s="95" t="s">
        <v>65</v>
      </c>
      <c r="B33" s="6" t="s">
        <v>27</v>
      </c>
      <c r="C33" s="24">
        <v>25</v>
      </c>
      <c r="D33" s="24">
        <v>1</v>
      </c>
      <c r="E33" s="24">
        <f>$C$33*D33</f>
        <v>25</v>
      </c>
      <c r="F33" s="24">
        <v>1</v>
      </c>
      <c r="G33" s="24">
        <f>$C$33*F33</f>
        <v>25</v>
      </c>
      <c r="H33" s="24">
        <v>1</v>
      </c>
      <c r="I33" s="24">
        <f>$C$33*H33</f>
        <v>25</v>
      </c>
      <c r="J33" s="24">
        <v>1</v>
      </c>
      <c r="K33" s="25">
        <f>$C$33*J33</f>
        <v>25</v>
      </c>
      <c r="L33" s="24">
        <v>1</v>
      </c>
      <c r="M33" s="24">
        <f>$C$33*L33</f>
        <v>25</v>
      </c>
      <c r="N33" s="24">
        <v>1</v>
      </c>
      <c r="O33" s="24">
        <f>$C$33*N33</f>
        <v>25</v>
      </c>
      <c r="P33" s="24">
        <v>1</v>
      </c>
      <c r="Q33" s="24">
        <f>$C$33*P33</f>
        <v>25</v>
      </c>
    </row>
    <row r="34" spans="1:17" ht="12.75">
      <c r="A34" s="95" t="s">
        <v>66</v>
      </c>
      <c r="B34" s="6" t="s">
        <v>14</v>
      </c>
      <c r="C34" s="24">
        <v>12</v>
      </c>
      <c r="D34" s="6">
        <f>+(1.1*0.5)+0.44</f>
        <v>0.99</v>
      </c>
      <c r="E34" s="6">
        <f>$C$34*D34</f>
        <v>11.879999999999999</v>
      </c>
      <c r="F34" s="6">
        <f>+(1.1*0.5)+0.44</f>
        <v>0.99</v>
      </c>
      <c r="G34" s="6">
        <f>$C$34*F34</f>
        <v>11.879999999999999</v>
      </c>
      <c r="H34" s="6">
        <f>+(1.1*0.5)+0.44</f>
        <v>0.99</v>
      </c>
      <c r="I34" s="6">
        <f>$C$34*H34</f>
        <v>11.879999999999999</v>
      </c>
      <c r="J34" s="6">
        <f>+(1.1*0.5)+0.44</f>
        <v>0.99</v>
      </c>
      <c r="K34" s="4">
        <f>$C$34*J34</f>
        <v>11.879999999999999</v>
      </c>
      <c r="L34" s="4">
        <f>+(1.1*0.5)+0.44</f>
        <v>0.99</v>
      </c>
      <c r="M34" s="6">
        <f>$C$34*L34</f>
        <v>11.879999999999999</v>
      </c>
      <c r="N34" s="6">
        <f>+(1.1*0.5)+0.44</f>
        <v>0.99</v>
      </c>
      <c r="O34" s="6">
        <f>$C$34*N34</f>
        <v>11.879999999999999</v>
      </c>
      <c r="P34" s="6">
        <f>+(1.1*0.5)+0.44</f>
        <v>0.99</v>
      </c>
      <c r="Q34" s="6">
        <f>$C$34*P34</f>
        <v>11.879999999999999</v>
      </c>
    </row>
    <row r="35" spans="1:17" ht="12.75">
      <c r="A35" s="39" t="s">
        <v>51</v>
      </c>
      <c r="B35" s="6" t="s">
        <v>14</v>
      </c>
      <c r="C35" s="24">
        <f>+C31</f>
        <v>14</v>
      </c>
      <c r="D35" s="6">
        <v>0.5</v>
      </c>
      <c r="E35" s="6">
        <f>$C$35*D35</f>
        <v>7</v>
      </c>
      <c r="F35" s="6">
        <v>0.5</v>
      </c>
      <c r="G35" s="6">
        <f>$C$35*F35</f>
        <v>7</v>
      </c>
      <c r="H35" s="6">
        <v>0.5</v>
      </c>
      <c r="I35" s="6">
        <f>$C$35*H35</f>
        <v>7</v>
      </c>
      <c r="J35" s="6">
        <v>0.5</v>
      </c>
      <c r="K35" s="15">
        <f>$C$35*J35</f>
        <v>7</v>
      </c>
      <c r="L35" s="6">
        <v>0.5</v>
      </c>
      <c r="M35" s="6">
        <f>$C$35*L35</f>
        <v>7</v>
      </c>
      <c r="N35" s="6">
        <v>0.5</v>
      </c>
      <c r="O35" s="6">
        <f>$C$35*N35</f>
        <v>7</v>
      </c>
      <c r="P35" s="6">
        <v>0.5</v>
      </c>
      <c r="Q35" s="6">
        <f>$C$35*P35</f>
        <v>7</v>
      </c>
    </row>
    <row r="36" spans="1:17" ht="12.75">
      <c r="A36" s="16" t="s">
        <v>17</v>
      </c>
      <c r="B36" s="6"/>
      <c r="C36" s="24"/>
      <c r="D36" s="6"/>
      <c r="E36" s="6"/>
      <c r="F36" s="6"/>
      <c r="G36" s="6"/>
      <c r="H36" s="6"/>
      <c r="I36" s="8"/>
      <c r="J36" s="6"/>
      <c r="K36" s="14"/>
      <c r="L36" s="6"/>
      <c r="M36" s="6"/>
      <c r="N36" s="6"/>
      <c r="O36" s="6"/>
      <c r="P36" s="6"/>
      <c r="Q36" s="6"/>
    </row>
    <row r="37" spans="1:17" ht="12.75">
      <c r="A37" s="95" t="s">
        <v>67</v>
      </c>
      <c r="B37" s="6" t="s">
        <v>27</v>
      </c>
      <c r="C37" s="24">
        <v>15</v>
      </c>
      <c r="D37" s="6"/>
      <c r="E37" s="4"/>
      <c r="F37" s="6"/>
      <c r="G37" s="6"/>
      <c r="H37" s="6">
        <v>1</v>
      </c>
      <c r="I37" s="6">
        <f>+H37*C37</f>
        <v>15</v>
      </c>
      <c r="J37" s="4">
        <v>1</v>
      </c>
      <c r="K37" s="45">
        <f>$C$37*H37</f>
        <v>15</v>
      </c>
      <c r="L37" s="6">
        <v>1</v>
      </c>
      <c r="M37" s="6">
        <f>$C$37*J37</f>
        <v>15</v>
      </c>
      <c r="N37" s="4">
        <v>1</v>
      </c>
      <c r="O37" s="6">
        <f>$C$37*L37</f>
        <v>15</v>
      </c>
      <c r="P37" s="6">
        <v>1</v>
      </c>
      <c r="Q37" s="4">
        <f>$C$37*N37</f>
        <v>15</v>
      </c>
    </row>
    <row r="38" spans="1:17" ht="12.75">
      <c r="A38" s="95" t="s">
        <v>53</v>
      </c>
      <c r="B38" s="6" t="s">
        <v>14</v>
      </c>
      <c r="C38" s="24">
        <v>12</v>
      </c>
      <c r="D38" s="6">
        <f>1.1*D39</f>
        <v>0.55</v>
      </c>
      <c r="E38" s="6">
        <f>$C$38*D38</f>
        <v>6.6000000000000005</v>
      </c>
      <c r="F38" s="6">
        <f>1.1*F39</f>
        <v>0.55</v>
      </c>
      <c r="G38" s="6">
        <f>$C$38*F38</f>
        <v>6.6000000000000005</v>
      </c>
      <c r="H38" s="6">
        <f>1.1*H39</f>
        <v>0.55</v>
      </c>
      <c r="I38" s="6">
        <f>$C$38*H38</f>
        <v>6.6000000000000005</v>
      </c>
      <c r="J38" s="6">
        <f>1.1*J39</f>
        <v>0.55</v>
      </c>
      <c r="K38" s="6">
        <f>$C$38*J38</f>
        <v>6.6000000000000005</v>
      </c>
      <c r="L38" s="6">
        <f>1.1*L39</f>
        <v>0.55</v>
      </c>
      <c r="M38" s="6">
        <f>$C$38*L38</f>
        <v>6.6000000000000005</v>
      </c>
      <c r="N38" s="6">
        <f>1.1*N39</f>
        <v>0.55</v>
      </c>
      <c r="O38" s="6">
        <f>$C$38*N38</f>
        <v>6.6000000000000005</v>
      </c>
      <c r="P38" s="4">
        <f>1.1*P39</f>
        <v>0.55</v>
      </c>
      <c r="Q38" s="4">
        <f>$C$38*P38</f>
        <v>6.6000000000000005</v>
      </c>
    </row>
    <row r="39" spans="1:17" ht="12.75">
      <c r="A39" s="81" t="s">
        <v>51</v>
      </c>
      <c r="B39" s="23" t="s">
        <v>14</v>
      </c>
      <c r="C39" s="10">
        <f>+C35</f>
        <v>14</v>
      </c>
      <c r="D39" s="23">
        <v>0.5</v>
      </c>
      <c r="E39" s="23">
        <f>$C$39*D39</f>
        <v>7</v>
      </c>
      <c r="F39" s="23">
        <v>0.5</v>
      </c>
      <c r="G39" s="23">
        <f>$C$39*F39</f>
        <v>7</v>
      </c>
      <c r="H39" s="23">
        <v>0.5</v>
      </c>
      <c r="I39" s="23">
        <f>$C$39*H39</f>
        <v>7</v>
      </c>
      <c r="J39" s="23">
        <v>0.5</v>
      </c>
      <c r="K39" s="23">
        <f>$C$39*J39</f>
        <v>7</v>
      </c>
      <c r="L39" s="23">
        <v>0.5</v>
      </c>
      <c r="M39" s="23">
        <f>$C$39*L39</f>
        <v>7</v>
      </c>
      <c r="N39" s="23">
        <v>0.5</v>
      </c>
      <c r="O39" s="23">
        <f>$C$39*N39</f>
        <v>7</v>
      </c>
      <c r="P39" s="23">
        <v>0.5</v>
      </c>
      <c r="Q39" s="9">
        <f>$C$39*P39</f>
        <v>7</v>
      </c>
    </row>
    <row r="40" spans="1:17" ht="12.75">
      <c r="A40" s="143" t="s">
        <v>71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5"/>
    </row>
    <row r="41" spans="1:17" ht="12.75">
      <c r="A41" s="26"/>
      <c r="B41" s="83"/>
      <c r="C41" s="83"/>
      <c r="D41" s="150" t="s">
        <v>0</v>
      </c>
      <c r="E41" s="151"/>
      <c r="F41" s="150" t="s">
        <v>1</v>
      </c>
      <c r="G41" s="151"/>
      <c r="H41" s="150" t="s">
        <v>2</v>
      </c>
      <c r="I41" s="151"/>
      <c r="J41" s="150" t="s">
        <v>3</v>
      </c>
      <c r="K41" s="151"/>
      <c r="L41" s="150" t="s">
        <v>4</v>
      </c>
      <c r="M41" s="151"/>
      <c r="N41" s="150" t="s">
        <v>5</v>
      </c>
      <c r="O41" s="151"/>
      <c r="P41" s="149" t="s">
        <v>6</v>
      </c>
      <c r="Q41" s="151"/>
    </row>
    <row r="42" spans="1:17" ht="12.75">
      <c r="A42" s="1" t="s">
        <v>7</v>
      </c>
      <c r="B42" s="41"/>
      <c r="C42" s="41" t="s">
        <v>8</v>
      </c>
      <c r="D42" s="41" t="s">
        <v>9</v>
      </c>
      <c r="E42" s="82"/>
      <c r="F42" s="41" t="s">
        <v>9</v>
      </c>
      <c r="G42" s="33"/>
      <c r="H42" s="41" t="s">
        <v>9</v>
      </c>
      <c r="I42" s="33"/>
      <c r="J42" s="41" t="s">
        <v>9</v>
      </c>
      <c r="K42" s="33"/>
      <c r="L42" s="41" t="s">
        <v>9</v>
      </c>
      <c r="M42" s="33"/>
      <c r="N42" s="41" t="s">
        <v>9</v>
      </c>
      <c r="O42" s="77"/>
      <c r="P42" s="34" t="s">
        <v>9</v>
      </c>
      <c r="Q42" s="34"/>
    </row>
    <row r="43" spans="1:17" ht="12.75">
      <c r="A43" s="3"/>
      <c r="B43" s="78" t="s">
        <v>10</v>
      </c>
      <c r="C43" s="78" t="s">
        <v>10</v>
      </c>
      <c r="D43" s="78" t="s">
        <v>11</v>
      </c>
      <c r="E43" s="75" t="s">
        <v>12</v>
      </c>
      <c r="F43" s="78" t="s">
        <v>11</v>
      </c>
      <c r="G43" s="75" t="s">
        <v>12</v>
      </c>
      <c r="H43" s="78" t="s">
        <v>11</v>
      </c>
      <c r="I43" s="75" t="s">
        <v>12</v>
      </c>
      <c r="J43" s="78" t="s">
        <v>11</v>
      </c>
      <c r="K43" s="75" t="s">
        <v>12</v>
      </c>
      <c r="L43" s="78" t="s">
        <v>11</v>
      </c>
      <c r="M43" s="75" t="s">
        <v>12</v>
      </c>
      <c r="N43" s="78" t="s">
        <v>11</v>
      </c>
      <c r="O43" s="76" t="s">
        <v>12</v>
      </c>
      <c r="P43" s="78" t="s">
        <v>11</v>
      </c>
      <c r="Q43" s="78" t="s">
        <v>12</v>
      </c>
    </row>
    <row r="44" spans="1:17" ht="12.75">
      <c r="A44" s="16" t="s">
        <v>18</v>
      </c>
      <c r="B44" s="6"/>
      <c r="C44" s="7"/>
      <c r="D44" s="16"/>
      <c r="E44" s="6"/>
      <c r="F44" s="6"/>
      <c r="G44" s="4"/>
      <c r="H44" s="6"/>
      <c r="I44" s="13"/>
      <c r="J44" s="4"/>
      <c r="K44" s="6"/>
      <c r="L44" s="6"/>
      <c r="M44" s="6"/>
      <c r="N44" s="6"/>
      <c r="O44" s="6"/>
      <c r="P44" s="6"/>
      <c r="Q44" s="4"/>
    </row>
    <row r="45" spans="1:17" ht="12.75">
      <c r="A45" s="95" t="s">
        <v>110</v>
      </c>
      <c r="B45" s="6" t="s">
        <v>19</v>
      </c>
      <c r="C45" s="7">
        <v>0.35</v>
      </c>
      <c r="D45" s="24">
        <v>8</v>
      </c>
      <c r="E45" s="7">
        <f>$C$45*D45</f>
        <v>2.8</v>
      </c>
      <c r="F45" s="24">
        <v>8</v>
      </c>
      <c r="G45" s="17">
        <f>$C$45*F45</f>
        <v>2.8</v>
      </c>
      <c r="H45" s="25">
        <v>8</v>
      </c>
      <c r="I45" s="7">
        <f>$C$45*H45</f>
        <v>2.8</v>
      </c>
      <c r="J45" s="25">
        <v>8</v>
      </c>
      <c r="K45" s="7">
        <f>$C$45*J45</f>
        <v>2.8</v>
      </c>
      <c r="L45" s="24">
        <v>8</v>
      </c>
      <c r="M45" s="7">
        <f>$C$45*L45</f>
        <v>2.8</v>
      </c>
      <c r="N45" s="24">
        <v>8</v>
      </c>
      <c r="O45" s="7">
        <f>$C$45*N45</f>
        <v>2.8</v>
      </c>
      <c r="P45" s="24">
        <v>8</v>
      </c>
      <c r="Q45" s="17">
        <f>$C$45*P45</f>
        <v>2.8</v>
      </c>
    </row>
    <row r="46" spans="1:17" ht="12.75">
      <c r="A46" s="95" t="s">
        <v>111</v>
      </c>
      <c r="B46" s="6" t="s">
        <v>68</v>
      </c>
      <c r="C46" s="7">
        <v>0.38</v>
      </c>
      <c r="D46" s="24">
        <v>8</v>
      </c>
      <c r="E46" s="96">
        <f>$C$46*D46</f>
        <v>3.04</v>
      </c>
      <c r="F46" s="24">
        <v>8</v>
      </c>
      <c r="G46" s="97">
        <f>$C$46*F46</f>
        <v>3.04</v>
      </c>
      <c r="H46" s="24">
        <v>8</v>
      </c>
      <c r="I46" s="71">
        <f>$C$46*H46</f>
        <v>3.04</v>
      </c>
      <c r="J46" s="25">
        <v>8</v>
      </c>
      <c r="K46" s="21">
        <f>$C$46*J46</f>
        <v>3.04</v>
      </c>
      <c r="L46" s="24">
        <v>8</v>
      </c>
      <c r="M46" s="21">
        <f>$C$46*L46</f>
        <v>3.04</v>
      </c>
      <c r="N46" s="24">
        <v>8</v>
      </c>
      <c r="O46" s="21">
        <f>$C$46*N46</f>
        <v>3.04</v>
      </c>
      <c r="P46" s="24">
        <v>8</v>
      </c>
      <c r="Q46" s="71">
        <f>$C$46*P46</f>
        <v>3.04</v>
      </c>
    </row>
    <row r="47" spans="1:17" ht="12.75">
      <c r="A47" s="95" t="s">
        <v>120</v>
      </c>
      <c r="B47" s="6" t="s">
        <v>19</v>
      </c>
      <c r="C47" s="7">
        <v>0.17</v>
      </c>
      <c r="D47" s="7">
        <f>(13.6/2)*1/0.52</f>
        <v>13.076923076923077</v>
      </c>
      <c r="E47" s="18">
        <f>$C$47*D47</f>
        <v>2.223076923076923</v>
      </c>
      <c r="F47" s="21">
        <f>(27.2/2)*1/0.52</f>
        <v>26.153846153846153</v>
      </c>
      <c r="G47" s="18">
        <f>$C$47*F47</f>
        <v>4.446153846153846</v>
      </c>
      <c r="H47" s="7">
        <f>(40.8/2)*1/0.52</f>
        <v>39.230769230769226</v>
      </c>
      <c r="I47" s="17">
        <f>$C$47*H47</f>
        <v>6.669230769230769</v>
      </c>
      <c r="J47" s="20">
        <f>(54.4/2)*1/0.52</f>
        <v>52.30769230769231</v>
      </c>
      <c r="K47" s="7">
        <f>$C$47*J47</f>
        <v>8.892307692307693</v>
      </c>
      <c r="L47" s="21">
        <f>(92.48/2)*1/0.52</f>
        <v>88.92307692307692</v>
      </c>
      <c r="M47" s="7">
        <f>$C$47*L47</f>
        <v>15.116923076923078</v>
      </c>
      <c r="N47" s="21">
        <f>(92.48/2)*1/0.52</f>
        <v>88.92307692307692</v>
      </c>
      <c r="O47" s="7">
        <f>$C$47*N47</f>
        <v>15.116923076923078</v>
      </c>
      <c r="P47" s="21">
        <f>(92.48/2)*1/0.52</f>
        <v>88.92307692307692</v>
      </c>
      <c r="Q47" s="17">
        <f>$C$47*P47</f>
        <v>15.116923076923078</v>
      </c>
    </row>
    <row r="48" spans="1:17" ht="12.75">
      <c r="A48" s="95" t="s">
        <v>113</v>
      </c>
      <c r="B48" s="6" t="s">
        <v>14</v>
      </c>
      <c r="C48" s="99">
        <v>12</v>
      </c>
      <c r="D48" s="7">
        <f>1.1*D49</f>
        <v>0.55</v>
      </c>
      <c r="E48" s="19">
        <f>$C$48*D48</f>
        <v>6.6000000000000005</v>
      </c>
      <c r="F48" s="7">
        <f>1.1*F49</f>
        <v>0.55</v>
      </c>
      <c r="G48" s="19">
        <f>$C$48*F48</f>
        <v>6.6000000000000005</v>
      </c>
      <c r="H48" s="7">
        <f>1.1*H49</f>
        <v>0.55</v>
      </c>
      <c r="I48" s="71">
        <f>$C$48*H48</f>
        <v>6.6000000000000005</v>
      </c>
      <c r="J48" s="17">
        <f>1.1*J49</f>
        <v>0.55</v>
      </c>
      <c r="K48" s="21">
        <f>$C$48*J48</f>
        <v>6.6000000000000005</v>
      </c>
      <c r="L48" s="7">
        <f>1.1*L49</f>
        <v>0.55</v>
      </c>
      <c r="M48" s="21">
        <f>$C$48*L48</f>
        <v>6.6000000000000005</v>
      </c>
      <c r="N48" s="7">
        <f>1.1*N49</f>
        <v>0.55</v>
      </c>
      <c r="O48" s="21">
        <f>$C$48*N48</f>
        <v>6.6000000000000005</v>
      </c>
      <c r="P48" s="7">
        <f>1.1*P49</f>
        <v>0.55</v>
      </c>
      <c r="Q48" s="71">
        <f>$C$48*P48</f>
        <v>6.6000000000000005</v>
      </c>
    </row>
    <row r="49" spans="1:17" ht="12.75">
      <c r="A49" s="39" t="s">
        <v>51</v>
      </c>
      <c r="B49" s="6" t="s">
        <v>14</v>
      </c>
      <c r="C49" s="25">
        <f>+C39</f>
        <v>14</v>
      </c>
      <c r="D49" s="17">
        <v>0.5</v>
      </c>
      <c r="E49" s="102">
        <f>$C$49*D49</f>
        <v>7</v>
      </c>
      <c r="F49" s="7">
        <v>0.5</v>
      </c>
      <c r="G49" s="103">
        <f>$C$49*F49</f>
        <v>7</v>
      </c>
      <c r="H49" s="7">
        <v>0.5</v>
      </c>
      <c r="I49" s="101">
        <f>$C$49*H49</f>
        <v>7</v>
      </c>
      <c r="J49" s="17">
        <v>0.5</v>
      </c>
      <c r="K49" s="101">
        <f>$C$49*J49</f>
        <v>7</v>
      </c>
      <c r="L49" s="7">
        <v>0.5</v>
      </c>
      <c r="M49" s="101">
        <f>$C$49*L49</f>
        <v>7</v>
      </c>
      <c r="N49" s="7">
        <v>0.5</v>
      </c>
      <c r="O49" s="101">
        <f>$C$49*N49</f>
        <v>7</v>
      </c>
      <c r="P49" s="7">
        <v>0.5</v>
      </c>
      <c r="Q49" s="100">
        <f>$C$49*P49</f>
        <v>7</v>
      </c>
    </row>
    <row r="50" spans="1:17" ht="12.75">
      <c r="A50" s="16" t="s">
        <v>83</v>
      </c>
      <c r="B50" s="6" t="s">
        <v>14</v>
      </c>
      <c r="C50" s="25">
        <v>12</v>
      </c>
      <c r="D50" s="25"/>
      <c r="E50" s="24"/>
      <c r="F50" s="25">
        <v>5</v>
      </c>
      <c r="G50" s="24">
        <f>$C$50*F50</f>
        <v>60</v>
      </c>
      <c r="H50" s="25">
        <v>5</v>
      </c>
      <c r="I50" s="24">
        <f>$C$50*H50</f>
        <v>60</v>
      </c>
      <c r="J50" s="25">
        <v>9</v>
      </c>
      <c r="K50" s="24">
        <f>$C$50*J50</f>
        <v>108</v>
      </c>
      <c r="L50" s="24">
        <v>9</v>
      </c>
      <c r="M50" s="24">
        <f>$C$50*L50</f>
        <v>108</v>
      </c>
      <c r="N50" s="24">
        <v>9</v>
      </c>
      <c r="O50" s="24">
        <f>$C$50*N50</f>
        <v>108</v>
      </c>
      <c r="P50" s="24">
        <v>21</v>
      </c>
      <c r="Q50" s="25">
        <f>$C$50*P50</f>
        <v>252</v>
      </c>
    </row>
    <row r="51" spans="1:17" ht="12.75">
      <c r="A51" s="16" t="s">
        <v>20</v>
      </c>
      <c r="B51" s="6"/>
      <c r="C51" s="17"/>
      <c r="D51" s="72"/>
      <c r="E51" s="7"/>
      <c r="F51" s="17"/>
      <c r="G51" s="7"/>
      <c r="H51" s="17"/>
      <c r="I51" s="7"/>
      <c r="J51" s="17"/>
      <c r="K51" s="7"/>
      <c r="L51" s="7"/>
      <c r="M51" s="7"/>
      <c r="N51" s="7"/>
      <c r="O51" s="7"/>
      <c r="P51" s="7"/>
      <c r="Q51" s="17"/>
    </row>
    <row r="52" spans="1:17" ht="12.75">
      <c r="A52" s="95" t="s">
        <v>112</v>
      </c>
      <c r="B52" s="6" t="s">
        <v>121</v>
      </c>
      <c r="C52" s="7">
        <v>17</v>
      </c>
      <c r="D52" s="25">
        <v>3</v>
      </c>
      <c r="E52" s="7">
        <f>$C$52*D52</f>
        <v>51</v>
      </c>
      <c r="F52" s="25">
        <v>9</v>
      </c>
      <c r="G52" s="7">
        <f>$C$52*F52</f>
        <v>153</v>
      </c>
      <c r="H52" s="25">
        <v>18</v>
      </c>
      <c r="I52" s="24">
        <f>$C$52*H52</f>
        <v>306</v>
      </c>
      <c r="J52" s="24">
        <v>20</v>
      </c>
      <c r="K52" s="24">
        <f>$C$52*J52</f>
        <v>340</v>
      </c>
      <c r="L52" s="24">
        <v>24</v>
      </c>
      <c r="M52" s="24">
        <f>$C$52*L52</f>
        <v>408</v>
      </c>
      <c r="N52" s="24">
        <v>30</v>
      </c>
      <c r="O52" s="24">
        <f>$C$52*N52</f>
        <v>510</v>
      </c>
      <c r="P52" s="24">
        <v>30</v>
      </c>
      <c r="Q52" s="24">
        <f>$C$52*P52</f>
        <v>510</v>
      </c>
    </row>
    <row r="53" spans="1:17" ht="12.75">
      <c r="A53" s="95" t="s">
        <v>122</v>
      </c>
      <c r="B53" s="6" t="s">
        <v>14</v>
      </c>
      <c r="C53" s="25">
        <v>12</v>
      </c>
      <c r="D53" s="24">
        <v>2</v>
      </c>
      <c r="E53" s="24">
        <f>$C$53*D53</f>
        <v>24</v>
      </c>
      <c r="F53" s="24">
        <v>2</v>
      </c>
      <c r="G53" s="24">
        <f>$C$53*F53</f>
        <v>24</v>
      </c>
      <c r="H53" s="24">
        <v>2</v>
      </c>
      <c r="I53" s="24">
        <f>$C$53*H53</f>
        <v>24</v>
      </c>
      <c r="J53" s="24">
        <v>2</v>
      </c>
      <c r="K53" s="24">
        <f>$C$53*J53</f>
        <v>24</v>
      </c>
      <c r="L53" s="24">
        <v>2</v>
      </c>
      <c r="M53" s="24">
        <f>$C$53*L53</f>
        <v>24</v>
      </c>
      <c r="N53" s="24">
        <v>2</v>
      </c>
      <c r="O53" s="24">
        <f>$C$53*N53</f>
        <v>24</v>
      </c>
      <c r="P53" s="24">
        <v>2</v>
      </c>
      <c r="Q53" s="24">
        <f>$C$53*P53</f>
        <v>24</v>
      </c>
    </row>
    <row r="54" spans="1:17" ht="12.75">
      <c r="A54" s="16" t="s">
        <v>41</v>
      </c>
      <c r="B54" s="11"/>
      <c r="C54" s="56"/>
      <c r="D54" s="56"/>
      <c r="E54" s="86">
        <f>SUM(E15:E53)</f>
        <v>4354.9430769230785</v>
      </c>
      <c r="F54" s="86"/>
      <c r="G54" s="86">
        <f>SUM(G15:G53)</f>
        <v>518.3661538461539</v>
      </c>
      <c r="H54" s="86"/>
      <c r="I54" s="86">
        <f>SUM(I15:I53)</f>
        <v>493.58923076923077</v>
      </c>
      <c r="J54" s="86"/>
      <c r="K54" s="86">
        <f>SUM(K15:K53)</f>
        <v>577.8123076923077</v>
      </c>
      <c r="L54" s="86"/>
      <c r="M54" s="86">
        <f>SUM(M15:M53)</f>
        <v>652.0369230769231</v>
      </c>
      <c r="N54" s="86"/>
      <c r="O54" s="86">
        <f>SUM(O15:O53)</f>
        <v>754.0369230769231</v>
      </c>
      <c r="P54" s="86"/>
      <c r="Q54" s="86">
        <f>SUM(Q15:Q53)</f>
        <v>898.0369230769231</v>
      </c>
    </row>
    <row r="55" spans="1:17" ht="12.75">
      <c r="A55" s="16" t="s">
        <v>21</v>
      </c>
      <c r="B55" s="4"/>
      <c r="C55" s="7"/>
      <c r="D55" s="5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95" t="s">
        <v>73</v>
      </c>
      <c r="B56" s="4" t="s">
        <v>19</v>
      </c>
      <c r="C56" s="7">
        <v>0.25</v>
      </c>
      <c r="D56" s="7"/>
      <c r="E56" s="7"/>
      <c r="F56" s="7"/>
      <c r="G56" s="7"/>
      <c r="H56" s="7"/>
      <c r="I56" s="7"/>
      <c r="J56" s="8">
        <f>+$J$11</f>
        <v>2040</v>
      </c>
      <c r="K56" s="8">
        <f>$C$56*J56</f>
        <v>510</v>
      </c>
      <c r="L56" s="8">
        <f>+$L$11</f>
        <v>3400</v>
      </c>
      <c r="M56" s="8">
        <f>$C$56*L56</f>
        <v>850</v>
      </c>
      <c r="N56" s="8">
        <f>+$N$11</f>
        <v>4080</v>
      </c>
      <c r="O56" s="8">
        <f>$C$56*N56</f>
        <v>1020</v>
      </c>
      <c r="P56" s="8">
        <f>+$P$11</f>
        <v>5440</v>
      </c>
      <c r="Q56" s="8">
        <f>$C$56*P56</f>
        <v>1360</v>
      </c>
    </row>
    <row r="57" spans="1:17" ht="12.75">
      <c r="A57" s="95" t="s">
        <v>74</v>
      </c>
      <c r="B57" s="4" t="s">
        <v>22</v>
      </c>
      <c r="C57" s="7">
        <v>0.75</v>
      </c>
      <c r="D57" s="7"/>
      <c r="E57" s="7"/>
      <c r="F57" s="7"/>
      <c r="G57" s="7"/>
      <c r="H57" s="7"/>
      <c r="I57" s="7"/>
      <c r="J57" s="7">
        <f>(J56*0.8)/5</f>
        <v>326.4</v>
      </c>
      <c r="K57" s="7">
        <f>$C$57*J57</f>
        <v>244.79999999999998</v>
      </c>
      <c r="L57" s="24">
        <f>(L56*0.8)/5</f>
        <v>544</v>
      </c>
      <c r="M57" s="24">
        <f>$C$57*L57</f>
        <v>408</v>
      </c>
      <c r="N57" s="7">
        <f>(N56*0.8)/5</f>
        <v>652.8</v>
      </c>
      <c r="O57" s="7">
        <f>$C$57*N57</f>
        <v>489.59999999999997</v>
      </c>
      <c r="P57" s="7">
        <f>(P56*0.8)/5</f>
        <v>870.4</v>
      </c>
      <c r="Q57" s="7">
        <f>$C$57*P57</f>
        <v>652.8</v>
      </c>
    </row>
    <row r="58" spans="1:19" s="64" customFormat="1" ht="12.75">
      <c r="A58" s="39" t="s">
        <v>54</v>
      </c>
      <c r="B58" s="35" t="s">
        <v>19</v>
      </c>
      <c r="C58" s="130">
        <f>0.09/11.5</f>
        <v>0.007826086956521738</v>
      </c>
      <c r="D58" s="35"/>
      <c r="E58" s="37"/>
      <c r="F58" s="35"/>
      <c r="G58" s="37"/>
      <c r="H58" s="36"/>
      <c r="I58" s="37"/>
      <c r="J58" s="8">
        <f>+$J$11</f>
        <v>2040</v>
      </c>
      <c r="K58" s="37">
        <f>J58*C58</f>
        <v>15.965217391304346</v>
      </c>
      <c r="L58" s="8">
        <f>+$L$11</f>
        <v>3400</v>
      </c>
      <c r="M58" s="37">
        <f>L58*C58</f>
        <v>26.60869565217391</v>
      </c>
      <c r="N58" s="8">
        <f>+$N$11</f>
        <v>4080</v>
      </c>
      <c r="O58" s="37">
        <f>N58*C58</f>
        <v>31.930434782608693</v>
      </c>
      <c r="P58" s="8">
        <f>+$P$11</f>
        <v>5440</v>
      </c>
      <c r="Q58" s="38">
        <f>P58*C58</f>
        <v>42.57391304347826</v>
      </c>
      <c r="S58" s="129"/>
    </row>
    <row r="59" spans="1:17" s="64" customFormat="1" ht="12.75">
      <c r="A59" s="39" t="s">
        <v>114</v>
      </c>
      <c r="B59" s="35" t="s">
        <v>19</v>
      </c>
      <c r="C59" s="130">
        <v>0.05</v>
      </c>
      <c r="D59" s="35"/>
      <c r="E59" s="37"/>
      <c r="F59" s="35"/>
      <c r="G59" s="37"/>
      <c r="H59" s="36"/>
      <c r="I59" s="65"/>
      <c r="J59" s="8">
        <f>+$J$11</f>
        <v>2040</v>
      </c>
      <c r="K59" s="36">
        <f>J59*C59</f>
        <v>102</v>
      </c>
      <c r="L59" s="8">
        <f>+$L$11</f>
        <v>3400</v>
      </c>
      <c r="M59" s="36">
        <f>L59*C59</f>
        <v>170</v>
      </c>
      <c r="N59" s="8">
        <f>+$N$11</f>
        <v>4080</v>
      </c>
      <c r="O59" s="36">
        <f>N59*C59</f>
        <v>204</v>
      </c>
      <c r="P59" s="8">
        <f>+$P$11</f>
        <v>5440</v>
      </c>
      <c r="Q59" s="74">
        <f>P59*C59</f>
        <v>272</v>
      </c>
    </row>
    <row r="60" spans="1:17" ht="12.75">
      <c r="A60" s="95" t="s">
        <v>53</v>
      </c>
      <c r="B60" s="4" t="s">
        <v>14</v>
      </c>
      <c r="C60" s="24">
        <v>12</v>
      </c>
      <c r="D60" s="7"/>
      <c r="E60" s="7"/>
      <c r="F60" s="7"/>
      <c r="G60" s="7"/>
      <c r="H60" s="7"/>
      <c r="I60" s="7"/>
      <c r="J60" s="7">
        <f>1.1*J61</f>
        <v>0.55</v>
      </c>
      <c r="K60" s="7">
        <f>$C$60*J60</f>
        <v>6.6000000000000005</v>
      </c>
      <c r="L60" s="7">
        <f>1.1*L61</f>
        <v>0.55</v>
      </c>
      <c r="M60" s="7">
        <f>$C$60*L60</f>
        <v>6.6000000000000005</v>
      </c>
      <c r="N60" s="7">
        <f>1.1*N61</f>
        <v>0.55</v>
      </c>
      <c r="O60" s="7">
        <f>$C$60*N60</f>
        <v>6.6000000000000005</v>
      </c>
      <c r="P60" s="7">
        <f>1.1*P61</f>
        <v>0.55</v>
      </c>
      <c r="Q60" s="7">
        <f>$C$60*P60</f>
        <v>6.6000000000000005</v>
      </c>
    </row>
    <row r="61" spans="1:17" ht="12.75">
      <c r="A61" s="39" t="s">
        <v>51</v>
      </c>
      <c r="B61" s="4" t="s">
        <v>14</v>
      </c>
      <c r="C61" s="24">
        <v>14</v>
      </c>
      <c r="D61" s="7"/>
      <c r="E61" s="7"/>
      <c r="F61" s="7"/>
      <c r="G61" s="7"/>
      <c r="H61" s="7"/>
      <c r="I61" s="7"/>
      <c r="J61" s="7">
        <v>0.5</v>
      </c>
      <c r="K61" s="24">
        <f>$C$61*J61</f>
        <v>7</v>
      </c>
      <c r="L61" s="7">
        <f>+J61</f>
        <v>0.5</v>
      </c>
      <c r="M61" s="8">
        <f>$C$61*L61</f>
        <v>7</v>
      </c>
      <c r="N61" s="7">
        <f>+J61</f>
        <v>0.5</v>
      </c>
      <c r="O61" s="8">
        <f>$C$61*N61</f>
        <v>7</v>
      </c>
      <c r="P61" s="7">
        <f>+J61</f>
        <v>0.5</v>
      </c>
      <c r="Q61" s="8">
        <f>$C$61*P61</f>
        <v>7</v>
      </c>
    </row>
    <row r="62" spans="1:17" s="99" customFormat="1" ht="11.25">
      <c r="A62" s="98" t="s">
        <v>42</v>
      </c>
      <c r="B62" s="94"/>
      <c r="C62" s="93"/>
      <c r="D62" s="93"/>
      <c r="E62" s="93"/>
      <c r="F62" s="93"/>
      <c r="G62" s="93"/>
      <c r="H62" s="93"/>
      <c r="I62" s="93"/>
      <c r="J62" s="93"/>
      <c r="K62" s="93">
        <f>SUM(K56:K61)</f>
        <v>886.3652173913043</v>
      </c>
      <c r="L62" s="93"/>
      <c r="M62" s="57">
        <f>SUM(M56:M61)</f>
        <v>1468.208695652174</v>
      </c>
      <c r="N62" s="93"/>
      <c r="O62" s="57">
        <f>SUM(O56:O61)</f>
        <v>1759.1304347826085</v>
      </c>
      <c r="P62" s="93"/>
      <c r="Q62" s="57">
        <f>SUM(Q56:Q61)</f>
        <v>2340.973913043478</v>
      </c>
    </row>
    <row r="63" spans="1:17" ht="12.75">
      <c r="A63" s="143" t="s">
        <v>55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6"/>
    </row>
    <row r="64" spans="1:17" ht="12.75">
      <c r="A64" s="104" t="s">
        <v>59</v>
      </c>
      <c r="B64" s="105" t="s">
        <v>27</v>
      </c>
      <c r="C64" s="58"/>
      <c r="D64" s="15"/>
      <c r="E64" s="107"/>
      <c r="F64" s="108"/>
      <c r="G64" s="107">
        <f>0.085*-(E78)</f>
        <v>528.0674434038464</v>
      </c>
      <c r="H64" s="22"/>
      <c r="I64" s="107">
        <f>(0.085*(-G78))+G64</f>
        <v>765.3939594008657</v>
      </c>
      <c r="J64" s="22"/>
      <c r="K64" s="107">
        <f>(0.085*(-I78))+I64</f>
        <v>1022.4699341614778</v>
      </c>
      <c r="L64" s="108"/>
      <c r="M64" s="107">
        <f>0.085*(-K78)+K64</f>
        <v>1168.780815158849</v>
      </c>
      <c r="N64" s="107"/>
      <c r="O64" s="108">
        <f>0.085*(-M78)+M64</f>
        <v>1239.8595579239397</v>
      </c>
      <c r="P64" s="107"/>
      <c r="Q64" s="107"/>
    </row>
    <row r="65" spans="1:17" ht="12.75">
      <c r="A65" s="6" t="s">
        <v>56</v>
      </c>
      <c r="B65" s="15" t="s">
        <v>27</v>
      </c>
      <c r="C65" s="7"/>
      <c r="D65" s="15"/>
      <c r="E65" s="6">
        <f>173+8</f>
        <v>181</v>
      </c>
      <c r="F65" s="6"/>
      <c r="G65" s="6">
        <f>200+27</f>
        <v>227</v>
      </c>
      <c r="H65" s="6"/>
      <c r="I65" s="6">
        <f>208+33</f>
        <v>241</v>
      </c>
      <c r="J65" s="6"/>
      <c r="K65" s="24">
        <f>217+39</f>
        <v>256</v>
      </c>
      <c r="L65" s="24"/>
      <c r="M65" s="24">
        <f>222+43</f>
        <v>265</v>
      </c>
      <c r="N65" s="6"/>
      <c r="O65" s="24">
        <f>220+41</f>
        <v>261</v>
      </c>
      <c r="P65" s="6"/>
      <c r="Q65" s="25">
        <f>247+61</f>
        <v>308</v>
      </c>
    </row>
    <row r="66" spans="1:17" ht="12.75">
      <c r="A66" s="6" t="s">
        <v>57</v>
      </c>
      <c r="B66" s="15" t="s">
        <v>27</v>
      </c>
      <c r="C66" s="7"/>
      <c r="D66" s="15"/>
      <c r="E66" s="6">
        <v>75</v>
      </c>
      <c r="F66" s="6"/>
      <c r="G66" s="6">
        <v>78</v>
      </c>
      <c r="H66" s="6"/>
      <c r="I66" s="6">
        <v>84</v>
      </c>
      <c r="J66" s="6"/>
      <c r="K66" s="24">
        <f>+I66</f>
        <v>84</v>
      </c>
      <c r="L66" s="24"/>
      <c r="M66" s="24">
        <f>+K66</f>
        <v>84</v>
      </c>
      <c r="N66" s="6"/>
      <c r="O66" s="24">
        <f>+M66</f>
        <v>84</v>
      </c>
      <c r="P66" s="6"/>
      <c r="Q66" s="25">
        <f>+O66</f>
        <v>84</v>
      </c>
    </row>
    <row r="67" spans="1:17" ht="12.75">
      <c r="A67" s="6" t="s">
        <v>43</v>
      </c>
      <c r="B67" s="15" t="s">
        <v>27</v>
      </c>
      <c r="C67" s="7"/>
      <c r="D67" s="15"/>
      <c r="E67" s="8">
        <v>180</v>
      </c>
      <c r="F67" s="22"/>
      <c r="G67" s="8">
        <f>+E67</f>
        <v>180</v>
      </c>
      <c r="H67" s="22"/>
      <c r="I67" s="8">
        <f>+G67</f>
        <v>180</v>
      </c>
      <c r="J67" s="22"/>
      <c r="K67" s="8">
        <f>+I67</f>
        <v>180</v>
      </c>
      <c r="L67" s="22"/>
      <c r="M67" s="8">
        <f>+K67</f>
        <v>180</v>
      </c>
      <c r="N67" s="8"/>
      <c r="O67" s="22">
        <f>+M67</f>
        <v>180</v>
      </c>
      <c r="P67" s="8"/>
      <c r="Q67" s="8">
        <f>+O67</f>
        <v>180</v>
      </c>
    </row>
    <row r="68" spans="1:17" ht="12.75">
      <c r="A68" s="35" t="s">
        <v>69</v>
      </c>
      <c r="B68" s="15" t="s">
        <v>27</v>
      </c>
      <c r="C68" s="35"/>
      <c r="D68" s="32"/>
      <c r="E68" s="37">
        <f>+((E54+E65+E66+E67)*0.085)/2</f>
        <v>203.61508076923084</v>
      </c>
      <c r="F68" s="32"/>
      <c r="G68" s="37">
        <f>+((G54+G65+G66+G67)*0.085)/2</f>
        <v>42.643061538461545</v>
      </c>
      <c r="H68" s="32"/>
      <c r="I68" s="37">
        <f aca="true" t="shared" si="1" ref="I68:Q68">+((I54+I65+I66+I67)*0.085)/2</f>
        <v>42.44004230769231</v>
      </c>
      <c r="J68" s="37">
        <f t="shared" si="1"/>
        <v>0</v>
      </c>
      <c r="K68" s="37">
        <f t="shared" si="1"/>
        <v>46.65702307692308</v>
      </c>
      <c r="L68" s="37"/>
      <c r="M68" s="37">
        <f t="shared" si="1"/>
        <v>50.19406923076924</v>
      </c>
      <c r="N68" s="37"/>
      <c r="O68" s="37">
        <f t="shared" si="1"/>
        <v>54.35906923076924</v>
      </c>
      <c r="P68" s="37"/>
      <c r="Q68" s="37">
        <f t="shared" si="1"/>
        <v>62.476569230769236</v>
      </c>
    </row>
    <row r="69" spans="1:17" s="28" customFormat="1" ht="11.25">
      <c r="A69" s="53" t="s">
        <v>44</v>
      </c>
      <c r="B69" s="57"/>
      <c r="C69" s="57"/>
      <c r="D69" s="57"/>
      <c r="E69" s="57">
        <f>SUM(E64:E68)</f>
        <v>639.6150807692309</v>
      </c>
      <c r="F69" s="57"/>
      <c r="G69" s="57">
        <f>SUM(G64:G68)</f>
        <v>1055.7105049423078</v>
      </c>
      <c r="H69" s="57"/>
      <c r="I69" s="57">
        <f>SUM(I64:I68)</f>
        <v>1312.834001708558</v>
      </c>
      <c r="J69" s="106"/>
      <c r="K69" s="57">
        <f>SUM(K64:K68)</f>
        <v>1589.1269572384008</v>
      </c>
      <c r="L69" s="57"/>
      <c r="M69" s="57">
        <f>SUM(M64:M68)</f>
        <v>1747.9748843896182</v>
      </c>
      <c r="N69" s="57"/>
      <c r="O69" s="57">
        <f>SUM(O64:O68)</f>
        <v>1819.2186271547089</v>
      </c>
      <c r="P69" s="57"/>
      <c r="Q69" s="57">
        <f>SUM(Q64:Q68)</f>
        <v>634.4765692307692</v>
      </c>
    </row>
    <row r="70" spans="1:17" ht="12.75">
      <c r="A70" s="143" t="s">
        <v>75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6"/>
    </row>
    <row r="71" spans="1:17" ht="12.75">
      <c r="A71" s="45" t="s">
        <v>70</v>
      </c>
      <c r="B71" s="5" t="s">
        <v>27</v>
      </c>
      <c r="C71" s="17"/>
      <c r="D71" s="6"/>
      <c r="E71" s="13">
        <v>1053</v>
      </c>
      <c r="F71" s="8"/>
      <c r="G71" s="8">
        <v>1053</v>
      </c>
      <c r="H71" s="8"/>
      <c r="I71" s="8">
        <v>1053</v>
      </c>
      <c r="J71" s="8"/>
      <c r="K71" s="8">
        <v>1053</v>
      </c>
      <c r="L71" s="8"/>
      <c r="M71" s="8">
        <v>1053</v>
      </c>
      <c r="N71" s="8"/>
      <c r="O71" s="8">
        <v>1053</v>
      </c>
      <c r="P71" s="8"/>
      <c r="Q71" s="13">
        <v>1053</v>
      </c>
    </row>
    <row r="72" spans="1:17" ht="12.75">
      <c r="A72" s="6" t="s">
        <v>103</v>
      </c>
      <c r="B72" s="6" t="s">
        <v>27</v>
      </c>
      <c r="C72" s="17"/>
      <c r="D72" s="6"/>
      <c r="E72" s="13">
        <v>78</v>
      </c>
      <c r="F72" s="8"/>
      <c r="G72" s="8">
        <f>+E72</f>
        <v>78</v>
      </c>
      <c r="H72" s="8"/>
      <c r="I72" s="8">
        <f>+G72</f>
        <v>78</v>
      </c>
      <c r="J72" s="8"/>
      <c r="K72" s="8">
        <f>+I72</f>
        <v>78</v>
      </c>
      <c r="L72" s="8"/>
      <c r="M72" s="8">
        <f>+K72</f>
        <v>78</v>
      </c>
      <c r="N72" s="8"/>
      <c r="O72" s="8">
        <f>+M72</f>
        <v>78</v>
      </c>
      <c r="P72" s="8"/>
      <c r="Q72" s="13">
        <f>+O72</f>
        <v>78</v>
      </c>
    </row>
    <row r="73" spans="1:17" ht="12.75">
      <c r="A73" s="6" t="s">
        <v>58</v>
      </c>
      <c r="B73" s="6" t="s">
        <v>27</v>
      </c>
      <c r="C73" s="17"/>
      <c r="D73" s="6"/>
      <c r="E73" s="13">
        <v>67</v>
      </c>
      <c r="F73" s="8"/>
      <c r="G73" s="8">
        <f>+E73</f>
        <v>67</v>
      </c>
      <c r="H73" s="8"/>
      <c r="I73" s="8">
        <f>+G73</f>
        <v>67</v>
      </c>
      <c r="J73" s="8"/>
      <c r="K73" s="8">
        <f>+I73</f>
        <v>67</v>
      </c>
      <c r="L73" s="8"/>
      <c r="M73" s="8">
        <f>+K73</f>
        <v>67</v>
      </c>
      <c r="N73" s="8"/>
      <c r="O73" s="8">
        <f>+M73</f>
        <v>67</v>
      </c>
      <c r="P73" s="8"/>
      <c r="Q73" s="13">
        <f>+O73</f>
        <v>67</v>
      </c>
    </row>
    <row r="74" spans="1:17" ht="12.75">
      <c r="A74" s="6" t="s">
        <v>102</v>
      </c>
      <c r="B74" s="6" t="s">
        <v>27</v>
      </c>
      <c r="C74" s="17"/>
      <c r="D74" s="6"/>
      <c r="E74" s="13">
        <v>20</v>
      </c>
      <c r="F74" s="8"/>
      <c r="G74" s="8">
        <f>+E74</f>
        <v>20</v>
      </c>
      <c r="H74" s="8"/>
      <c r="I74" s="8">
        <f>+G74</f>
        <v>20</v>
      </c>
      <c r="J74" s="8"/>
      <c r="K74" s="8">
        <f>+I74</f>
        <v>20</v>
      </c>
      <c r="L74" s="8"/>
      <c r="M74" s="8">
        <f>+K74</f>
        <v>20</v>
      </c>
      <c r="N74" s="8"/>
      <c r="O74" s="8">
        <f>+M74</f>
        <v>20</v>
      </c>
      <c r="P74" s="8"/>
      <c r="Q74" s="8">
        <f>+O74</f>
        <v>20</v>
      </c>
    </row>
    <row r="75" spans="1:17" ht="12.75">
      <c r="A75" s="6" t="s">
        <v>104</v>
      </c>
      <c r="B75" s="6" t="s">
        <v>27</v>
      </c>
      <c r="C75" s="17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>+O79*(0.0726+0.0806)/2</f>
        <v>1151.8318268870764</v>
      </c>
    </row>
    <row r="76" spans="1:17" ht="12.75">
      <c r="A76" s="16" t="s">
        <v>47</v>
      </c>
      <c r="B76" s="6"/>
      <c r="C76" s="72"/>
      <c r="D76" s="16"/>
      <c r="E76" s="86">
        <f>SUM(E71:E75)</f>
        <v>1218</v>
      </c>
      <c r="F76" s="86"/>
      <c r="G76" s="86">
        <f>SUM(G71:G75)</f>
        <v>1218</v>
      </c>
      <c r="H76" s="86"/>
      <c r="I76" s="86">
        <f>SUM(I71:I75)</f>
        <v>1218</v>
      </c>
      <c r="J76" s="86"/>
      <c r="K76" s="86">
        <f>SUM(K71:K75)</f>
        <v>1218</v>
      </c>
      <c r="L76" s="86"/>
      <c r="M76" s="86">
        <f>SUM(M71:M75)</f>
        <v>1218</v>
      </c>
      <c r="N76" s="86"/>
      <c r="O76" s="86">
        <f>SUM(O71:O75)</f>
        <v>1218</v>
      </c>
      <c r="P76" s="86"/>
      <c r="Q76" s="86">
        <f>SUM(Q71:Q75)</f>
        <v>2369.831826887076</v>
      </c>
    </row>
    <row r="77" spans="1:17" s="64" customFormat="1" ht="12.75">
      <c r="A77" s="85" t="s">
        <v>76</v>
      </c>
      <c r="B77" s="73"/>
      <c r="C77" s="109"/>
      <c r="D77" s="85"/>
      <c r="E77" s="110">
        <f>+E54+E62+E69+E76</f>
        <v>6212.55815769231</v>
      </c>
      <c r="F77" s="111"/>
      <c r="G77" s="110">
        <f>+G54+G62+G69+G76</f>
        <v>2792.076658788462</v>
      </c>
      <c r="H77" s="111"/>
      <c r="I77" s="110">
        <f>+I54+I62+I69+I76</f>
        <v>3024.4232324777886</v>
      </c>
      <c r="J77" s="111"/>
      <c r="K77" s="110">
        <f>+K54+K62+K69+K76</f>
        <v>4271.304482322013</v>
      </c>
      <c r="L77" s="111"/>
      <c r="M77" s="110">
        <f>+M54+M62+M69+M76</f>
        <v>5086.220503118715</v>
      </c>
      <c r="N77" s="111"/>
      <c r="O77" s="110">
        <f>+O54+O62+O69+O76</f>
        <v>5550.385985014241</v>
      </c>
      <c r="P77" s="111"/>
      <c r="Q77" s="110">
        <f>+Q54+Q62+Q69+Q76</f>
        <v>6243.3192322382465</v>
      </c>
    </row>
    <row r="78" spans="1:17" ht="12.75">
      <c r="A78" s="16" t="s">
        <v>28</v>
      </c>
      <c r="B78" s="6"/>
      <c r="C78" s="4"/>
      <c r="D78" s="6"/>
      <c r="E78" s="53">
        <f>+E13-E77</f>
        <v>-6212.55815769231</v>
      </c>
      <c r="F78" s="8"/>
      <c r="G78" s="53">
        <f>+G13-G77</f>
        <v>-2792.076658788462</v>
      </c>
      <c r="H78" s="8"/>
      <c r="I78" s="53">
        <f>+I13-I77</f>
        <v>-3024.4232324777886</v>
      </c>
      <c r="J78" s="8"/>
      <c r="K78" s="53">
        <f>+K13-K77</f>
        <v>-1721.3044823220134</v>
      </c>
      <c r="L78" s="8"/>
      <c r="M78" s="53">
        <f>+M13-M77</f>
        <v>-836.220503118715</v>
      </c>
      <c r="N78" s="8"/>
      <c r="O78" s="53">
        <f>+O13-O77</f>
        <v>-450.38598501424076</v>
      </c>
      <c r="P78" s="8"/>
      <c r="Q78" s="53">
        <f>+Q13-Q77</f>
        <v>556.6807677617535</v>
      </c>
    </row>
    <row r="79" spans="1:17" ht="12.75">
      <c r="A79" s="3" t="s">
        <v>23</v>
      </c>
      <c r="B79" s="23"/>
      <c r="C79" s="9"/>
      <c r="D79" s="23"/>
      <c r="E79" s="57">
        <f>+-(E78)</f>
        <v>6212.55815769231</v>
      </c>
      <c r="F79" s="57"/>
      <c r="G79" s="57">
        <f>+-(E78+G78)</f>
        <v>9004.634816480771</v>
      </c>
      <c r="H79" s="57"/>
      <c r="I79" s="57">
        <f>+-(E78+G78+I78)</f>
        <v>12029.058048958559</v>
      </c>
      <c r="J79" s="57"/>
      <c r="K79" s="57">
        <f>+-(E78+G78+I78+K78)</f>
        <v>13750.362531280573</v>
      </c>
      <c r="L79" s="57"/>
      <c r="M79" s="57">
        <f>+-(E78+G78+I78+K78+M78)</f>
        <v>14586.583034399287</v>
      </c>
      <c r="N79" s="57"/>
      <c r="O79" s="57">
        <f>-(E78+G78+I78+K78+M78+O78)</f>
        <v>15036.96901941353</v>
      </c>
      <c r="P79" s="57"/>
      <c r="Q79" s="57"/>
    </row>
    <row r="80" spans="1:17" ht="12.75">
      <c r="A80" s="29"/>
      <c r="B80" s="15"/>
      <c r="C80" s="15"/>
      <c r="D80" s="15"/>
      <c r="E80" s="30"/>
      <c r="F80" s="30"/>
      <c r="G80" s="30"/>
      <c r="H80" s="30"/>
      <c r="I80" s="30"/>
      <c r="J80" s="30"/>
      <c r="K80" s="30"/>
      <c r="L80" s="30"/>
      <c r="M80" s="30"/>
      <c r="N80" s="15"/>
      <c r="O80" s="30"/>
      <c r="P80" s="15"/>
      <c r="Q80" s="30"/>
    </row>
    <row r="81" spans="1:17" ht="12.75">
      <c r="A81" s="29"/>
      <c r="B81" s="15"/>
      <c r="C81" s="15"/>
      <c r="D81" s="15"/>
      <c r="E81" s="30"/>
      <c r="F81" s="15"/>
      <c r="G81" s="30"/>
      <c r="H81" s="15"/>
      <c r="I81" s="30"/>
      <c r="J81" s="15"/>
      <c r="K81" s="30"/>
      <c r="L81" s="15"/>
      <c r="M81" s="15"/>
      <c r="N81" s="15"/>
      <c r="O81" s="30"/>
      <c r="P81" s="15"/>
      <c r="Q81" s="30"/>
    </row>
    <row r="82" spans="2:17" ht="12.75">
      <c r="B82" s="14"/>
      <c r="C82" s="14"/>
      <c r="D82" s="14"/>
      <c r="E82" s="14"/>
      <c r="F82" s="28"/>
      <c r="G82" s="14"/>
      <c r="H82" s="14"/>
      <c r="I82" s="14"/>
      <c r="J82" s="14"/>
      <c r="K82" s="14"/>
      <c r="L82" s="14"/>
      <c r="M82" s="15"/>
      <c r="N82" s="14"/>
      <c r="O82" s="14"/>
      <c r="P82" s="14"/>
      <c r="Q82" s="14"/>
    </row>
    <row r="83" spans="1:17" ht="12.75">
      <c r="A83" s="14"/>
      <c r="B83" s="14"/>
      <c r="C83" s="14"/>
      <c r="D83" s="14"/>
      <c r="E83" s="27"/>
      <c r="F83" s="27"/>
      <c r="G83" s="27"/>
      <c r="H83" s="27"/>
      <c r="I83" s="14"/>
      <c r="J83" s="14"/>
      <c r="K83" s="14"/>
      <c r="L83" s="14"/>
      <c r="M83" s="15"/>
      <c r="N83" s="14"/>
      <c r="O83" s="14"/>
      <c r="P83" s="14"/>
      <c r="Q83" s="14"/>
    </row>
    <row r="84" spans="1:17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5"/>
      <c r="N84" s="14"/>
      <c r="O84" s="14"/>
      <c r="P84" s="14"/>
      <c r="Q84" s="14"/>
    </row>
    <row r="85" spans="1:17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2.75">
      <c r="A95" s="14"/>
      <c r="B95" s="14"/>
      <c r="C95" s="18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2.75">
      <c r="A96" s="14"/>
      <c r="B96" s="14"/>
      <c r="C96" s="18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2.75">
      <c r="A97" s="14"/>
      <c r="B97" s="14"/>
      <c r="C97" s="18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2.75">
      <c r="A98" s="14"/>
      <c r="B98" s="14"/>
      <c r="C98" s="18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2.75">
      <c r="A99" s="14"/>
      <c r="B99" s="31"/>
      <c r="C99" s="18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2.75">
      <c r="A103" s="14"/>
      <c r="B103" s="14"/>
      <c r="C103" s="14"/>
      <c r="D103" s="14"/>
      <c r="E103" s="14"/>
      <c r="F103" s="14"/>
      <c r="G103" s="31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</sheetData>
  <mergeCells count="23">
    <mergeCell ref="A1:Q1"/>
    <mergeCell ref="A2:Q2"/>
    <mergeCell ref="A3:Q3"/>
    <mergeCell ref="A4:Q4"/>
    <mergeCell ref="A70:Q70"/>
    <mergeCell ref="J41:K41"/>
    <mergeCell ref="L41:M41"/>
    <mergeCell ref="N41:O41"/>
    <mergeCell ref="P41:Q41"/>
    <mergeCell ref="D41:E41"/>
    <mergeCell ref="F41:G41"/>
    <mergeCell ref="H41:I41"/>
    <mergeCell ref="A63:Q63"/>
    <mergeCell ref="A40:Q40"/>
    <mergeCell ref="L5:M5"/>
    <mergeCell ref="N5:O5"/>
    <mergeCell ref="P5:Q5"/>
    <mergeCell ref="A9:Q9"/>
    <mergeCell ref="A14:Q14"/>
    <mergeCell ref="D5:E5"/>
    <mergeCell ref="F5:G5"/>
    <mergeCell ref="H5:I5"/>
    <mergeCell ref="J5:K5"/>
  </mergeCells>
  <printOptions/>
  <pageMargins left="0.75" right="0.75" top="0.75" bottom="1" header="0.5" footer="0.5"/>
  <pageSetup horizontalDpi="300" verticalDpi="300" orientation="landscape" scale="9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3">
      <selection activeCell="A16" sqref="A16:I19"/>
    </sheetView>
  </sheetViews>
  <sheetFormatPr defaultColWidth="9.140625" defaultRowHeight="12.75"/>
  <cols>
    <col min="2" max="2" width="20.7109375" style="0" customWidth="1"/>
  </cols>
  <sheetData>
    <row r="1" spans="1:9" ht="12.75">
      <c r="A1" s="159" t="s">
        <v>93</v>
      </c>
      <c r="B1" s="159"/>
      <c r="C1" s="159"/>
      <c r="D1" s="159"/>
      <c r="E1" s="159"/>
      <c r="F1" s="159"/>
      <c r="G1" s="159"/>
      <c r="H1" s="159"/>
      <c r="I1" s="159"/>
    </row>
    <row r="3" spans="1:9" ht="12.75">
      <c r="A3" s="113" t="s">
        <v>24</v>
      </c>
      <c r="B3" s="114"/>
      <c r="C3" s="114">
        <v>1</v>
      </c>
      <c r="D3" s="114">
        <v>2</v>
      </c>
      <c r="E3" s="114">
        <v>3</v>
      </c>
      <c r="F3" s="114">
        <v>4</v>
      </c>
      <c r="G3" s="114">
        <v>5</v>
      </c>
      <c r="H3" s="114">
        <v>6</v>
      </c>
      <c r="I3" s="115" t="s">
        <v>86</v>
      </c>
    </row>
    <row r="4" spans="1:9" ht="12.75">
      <c r="A4" s="116" t="s">
        <v>87</v>
      </c>
      <c r="B4" s="117"/>
      <c r="C4" s="52"/>
      <c r="D4" s="52"/>
      <c r="E4" s="52"/>
      <c r="F4" s="52">
        <f>'Lychees estab &amp; prod.costs'!J8</f>
        <v>15</v>
      </c>
      <c r="G4" s="52">
        <f>'Lychees estab &amp; prod.costs'!L8</f>
        <v>25</v>
      </c>
      <c r="H4" s="52">
        <f>'Lychees estab &amp; prod.costs'!N8</f>
        <v>30</v>
      </c>
      <c r="I4" s="118">
        <f>'Lychees estab &amp; prod.costs'!P8</f>
        <v>40</v>
      </c>
    </row>
    <row r="5" spans="1:9" ht="12.75">
      <c r="A5" s="116" t="s">
        <v>88</v>
      </c>
      <c r="B5" s="117"/>
      <c r="C5" s="52"/>
      <c r="D5" s="52"/>
      <c r="E5" s="52"/>
      <c r="F5" s="52">
        <f>'Lychees estab &amp; prod.costs'!J11</f>
        <v>2040</v>
      </c>
      <c r="G5" s="52">
        <f>'Lychees estab &amp; prod.costs'!L13</f>
        <v>3400</v>
      </c>
      <c r="H5" s="52">
        <f>'Lychees estab &amp; prod.costs'!N13</f>
        <v>4080</v>
      </c>
      <c r="I5" s="118">
        <f>'Lychees estab &amp; prod.costs'!P13</f>
        <v>5440</v>
      </c>
    </row>
    <row r="6" spans="1:9" ht="12.75">
      <c r="A6" s="116" t="s">
        <v>89</v>
      </c>
      <c r="B6" s="123">
        <f>'Lychees estab &amp; prod.costs'!C11</f>
        <v>1.25</v>
      </c>
      <c r="C6" s="52"/>
      <c r="D6" s="52"/>
      <c r="E6" s="52"/>
      <c r="F6" s="52"/>
      <c r="G6" s="52"/>
      <c r="H6" s="52"/>
      <c r="I6" s="118"/>
    </row>
    <row r="7" spans="1:10" ht="12.75">
      <c r="A7" s="116" t="s">
        <v>101</v>
      </c>
      <c r="B7" s="117"/>
      <c r="C7" s="52"/>
      <c r="D7" s="52"/>
      <c r="E7" s="52"/>
      <c r="F7" s="52">
        <f>F5*$B$6</f>
        <v>2550</v>
      </c>
      <c r="G7" s="52">
        <f>G5*$B$6</f>
        <v>4250</v>
      </c>
      <c r="H7" s="52">
        <f>H5*$B$6</f>
        <v>5100</v>
      </c>
      <c r="I7" s="118">
        <f>I5*$B$6</f>
        <v>6800</v>
      </c>
      <c r="J7" s="50"/>
    </row>
    <row r="8" spans="1:9" ht="12.75">
      <c r="A8" s="116" t="s">
        <v>90</v>
      </c>
      <c r="B8" s="117"/>
      <c r="C8" s="52">
        <f>'Lychees estab &amp; prod.costs'!E54</f>
        <v>4354.9430769230785</v>
      </c>
      <c r="D8" s="52">
        <f>'Lychees estab &amp; prod.costs'!G54</f>
        <v>518.3661538461539</v>
      </c>
      <c r="E8" s="52">
        <f>'Lychees estab &amp; prod.costs'!I54</f>
        <v>493.58923076923077</v>
      </c>
      <c r="F8" s="52">
        <f>'Lychees estab &amp; prod.costs'!K54</f>
        <v>577.8123076923077</v>
      </c>
      <c r="G8" s="52">
        <f>'Lychees estab &amp; prod.costs'!M54</f>
        <v>652.0369230769231</v>
      </c>
      <c r="H8" s="52">
        <f>'Lychees estab &amp; prod.costs'!O54</f>
        <v>754.0369230769231</v>
      </c>
      <c r="I8" s="118">
        <f>'Lychees estab &amp; prod.costs'!Q54</f>
        <v>898.0369230769231</v>
      </c>
    </row>
    <row r="9" spans="1:9" ht="12.75">
      <c r="A9" s="116" t="s">
        <v>21</v>
      </c>
      <c r="B9" s="117"/>
      <c r="C9" s="52"/>
      <c r="D9" s="52"/>
      <c r="E9" s="52"/>
      <c r="F9" s="52">
        <f>'Lychees estab &amp; prod.costs'!K62</f>
        <v>886.3652173913043</v>
      </c>
      <c r="G9" s="52">
        <f>'Lychees estab &amp; prod.costs'!M62</f>
        <v>1468.208695652174</v>
      </c>
      <c r="H9" s="52">
        <f>'Lychees estab &amp; prod.costs'!O62</f>
        <v>1759.1304347826085</v>
      </c>
      <c r="I9" s="118">
        <f>'Lychees estab &amp; prod.costs'!Q62</f>
        <v>2340.973913043478</v>
      </c>
    </row>
    <row r="10" spans="1:9" ht="12.75">
      <c r="A10" s="116" t="s">
        <v>94</v>
      </c>
      <c r="B10" s="117"/>
      <c r="C10" s="52">
        <f>'Lychees estab &amp; prod.costs'!E69</f>
        <v>639.6150807692309</v>
      </c>
      <c r="D10" s="52">
        <f>'Lychees estab &amp; prod.costs'!G69</f>
        <v>1055.7105049423078</v>
      </c>
      <c r="E10" s="52">
        <f>'Lychees estab &amp; prod.costs'!I69</f>
        <v>1312.834001708558</v>
      </c>
      <c r="F10" s="52">
        <f>'Lychees estab &amp; prod.costs'!K69</f>
        <v>1589.1269572384008</v>
      </c>
      <c r="G10" s="52">
        <f>'Lychees estab &amp; prod.costs'!M69</f>
        <v>1747.9748843896182</v>
      </c>
      <c r="H10" s="52">
        <f>'Lychees estab &amp; prod.costs'!O69</f>
        <v>1819.2186271547089</v>
      </c>
      <c r="I10" s="118">
        <f>'Lychees estab &amp; prod.costs'!Q69</f>
        <v>634.4765692307692</v>
      </c>
    </row>
    <row r="11" spans="1:9" ht="12.75">
      <c r="A11" s="116" t="s">
        <v>95</v>
      </c>
      <c r="B11" s="117"/>
      <c r="C11" s="52">
        <f>'Lychees estab &amp; prod.costs'!E76</f>
        <v>1218</v>
      </c>
      <c r="D11" s="52">
        <f>'Lychees estab &amp; prod.costs'!G76</f>
        <v>1218</v>
      </c>
      <c r="E11" s="52">
        <f>'Lychees estab &amp; prod.costs'!I76</f>
        <v>1218</v>
      </c>
      <c r="F11" s="52">
        <f>'Lychees estab &amp; prod.costs'!K76</f>
        <v>1218</v>
      </c>
      <c r="G11" s="52">
        <f>'Lychees estab &amp; prod.costs'!M76</f>
        <v>1218</v>
      </c>
      <c r="H11" s="52">
        <f>'Lychees estab &amp; prod.costs'!O76</f>
        <v>1218</v>
      </c>
      <c r="I11" s="118">
        <f>'Lychees estab &amp; prod.costs'!Q76</f>
        <v>2369.831826887076</v>
      </c>
    </row>
    <row r="12" spans="1:9" ht="12.75">
      <c r="A12" s="116" t="s">
        <v>96</v>
      </c>
      <c r="B12" s="117"/>
      <c r="C12" s="52">
        <f aca="true" t="shared" si="0" ref="C12:I12">SUM(C8:C11)</f>
        <v>6212.55815769231</v>
      </c>
      <c r="D12" s="52">
        <f t="shared" si="0"/>
        <v>2792.076658788462</v>
      </c>
      <c r="E12" s="52">
        <f t="shared" si="0"/>
        <v>3024.4232324777886</v>
      </c>
      <c r="F12" s="52">
        <f t="shared" si="0"/>
        <v>4271.304482322013</v>
      </c>
      <c r="G12" s="52">
        <f t="shared" si="0"/>
        <v>5086.220503118715</v>
      </c>
      <c r="H12" s="52">
        <f t="shared" si="0"/>
        <v>5550.385985014241</v>
      </c>
      <c r="I12" s="118">
        <f t="shared" si="0"/>
        <v>6243.3192322382465</v>
      </c>
    </row>
    <row r="13" spans="1:9" ht="12.75">
      <c r="A13" s="116" t="s">
        <v>97</v>
      </c>
      <c r="B13" s="117"/>
      <c r="C13" s="52">
        <f aca="true" t="shared" si="1" ref="C13:I13">+C7-C12</f>
        <v>-6212.55815769231</v>
      </c>
      <c r="D13" s="52">
        <f t="shared" si="1"/>
        <v>-2792.076658788462</v>
      </c>
      <c r="E13" s="52">
        <f t="shared" si="1"/>
        <v>-3024.4232324777886</v>
      </c>
      <c r="F13" s="52">
        <f t="shared" si="1"/>
        <v>-1721.3044823220134</v>
      </c>
      <c r="G13" s="52">
        <f t="shared" si="1"/>
        <v>-836.220503118715</v>
      </c>
      <c r="H13" s="52">
        <f t="shared" si="1"/>
        <v>-450.38598501424076</v>
      </c>
      <c r="I13" s="118">
        <f t="shared" si="1"/>
        <v>556.6807677617535</v>
      </c>
    </row>
    <row r="14" spans="1:9" ht="12.75">
      <c r="A14" s="119" t="s">
        <v>98</v>
      </c>
      <c r="B14" s="120"/>
      <c r="C14" s="121">
        <f>-(C13+B13)</f>
        <v>6212.55815769231</v>
      </c>
      <c r="D14" s="121">
        <f>-(B13+C13+D13)</f>
        <v>9004.634816480771</v>
      </c>
      <c r="E14" s="121">
        <f>-(B13+C13+D13+E13)</f>
        <v>12029.058048958559</v>
      </c>
      <c r="F14" s="121">
        <f>-(B13+C13+D13+E13+F13)</f>
        <v>13750.362531280573</v>
      </c>
      <c r="G14" s="121">
        <f>-(B13+C13+D13+E13+F13+G13)</f>
        <v>14586.583034399287</v>
      </c>
      <c r="H14" s="121">
        <f>-(B13+C13+D13+E13+F13+G13+H13)</f>
        <v>15036.96901941353</v>
      </c>
      <c r="I14" s="122"/>
    </row>
    <row r="16" ht="12.75">
      <c r="A16" t="s">
        <v>92</v>
      </c>
    </row>
    <row r="17" ht="12.75">
      <c r="A17" t="s">
        <v>91</v>
      </c>
    </row>
    <row r="18" ht="12.75">
      <c r="A18" t="s">
        <v>99</v>
      </c>
    </row>
    <row r="19" ht="12.75">
      <c r="A19" t="s">
        <v>100</v>
      </c>
    </row>
  </sheetData>
  <mergeCells count="1">
    <mergeCell ref="A1:I1"/>
  </mergeCells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2">
      <selection activeCell="M61" sqref="M61"/>
    </sheetView>
  </sheetViews>
  <sheetFormatPr defaultColWidth="9.140625" defaultRowHeight="12.75"/>
  <cols>
    <col min="1" max="1" width="33.57421875" style="0" customWidth="1"/>
    <col min="2" max="2" width="6.8515625" style="0" customWidth="1"/>
    <col min="3" max="3" width="6.57421875" style="0" customWidth="1"/>
    <col min="4" max="5" width="6.7109375" style="0" customWidth="1"/>
    <col min="6" max="6" width="7.00390625" style="0" customWidth="1"/>
    <col min="7" max="7" width="6.421875" style="0" customWidth="1"/>
    <col min="8" max="8" width="6.57421875" style="0" customWidth="1"/>
    <col min="9" max="9" width="6.8515625" style="0" customWidth="1"/>
    <col min="10" max="10" width="6.57421875" style="0" customWidth="1"/>
  </cols>
  <sheetData>
    <row r="1" spans="1:10" ht="15.75">
      <c r="A1" s="161" t="s">
        <v>123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s="63" customFormat="1" ht="12.75">
      <c r="A3" s="63" t="s">
        <v>84</v>
      </c>
      <c r="B3" s="135">
        <v>20</v>
      </c>
      <c r="C3" s="135">
        <v>25</v>
      </c>
      <c r="D3" s="136">
        <v>30</v>
      </c>
      <c r="E3" s="136">
        <v>35</v>
      </c>
      <c r="F3" s="136">
        <v>40</v>
      </c>
      <c r="G3" s="136">
        <v>45</v>
      </c>
      <c r="H3" s="136">
        <v>50</v>
      </c>
      <c r="I3" s="136">
        <v>55</v>
      </c>
      <c r="J3" s="136">
        <v>60</v>
      </c>
    </row>
    <row r="4" spans="1:10" s="63" customFormat="1" ht="12.75">
      <c r="A4" s="88" t="s">
        <v>85</v>
      </c>
      <c r="B4" s="137">
        <f>136*B3</f>
        <v>2720</v>
      </c>
      <c r="C4" s="137">
        <f aca="true" t="shared" si="0" ref="C4:J4">136*C3</f>
        <v>3400</v>
      </c>
      <c r="D4" s="138">
        <f t="shared" si="0"/>
        <v>4080</v>
      </c>
      <c r="E4" s="138">
        <f t="shared" si="0"/>
        <v>4760</v>
      </c>
      <c r="F4" s="138">
        <f t="shared" si="0"/>
        <v>5440</v>
      </c>
      <c r="G4" s="138">
        <f t="shared" si="0"/>
        <v>6120</v>
      </c>
      <c r="H4" s="138">
        <f t="shared" si="0"/>
        <v>6800</v>
      </c>
      <c r="I4" s="138">
        <f t="shared" si="0"/>
        <v>7480</v>
      </c>
      <c r="J4" s="138">
        <f t="shared" si="0"/>
        <v>8160</v>
      </c>
    </row>
    <row r="5" spans="1:10" s="63" customFormat="1" ht="12.75">
      <c r="A5" s="62"/>
      <c r="B5" s="162" t="s">
        <v>30</v>
      </c>
      <c r="C5" s="162"/>
      <c r="D5" s="163"/>
      <c r="E5" s="163"/>
      <c r="F5" s="163"/>
      <c r="G5" s="163"/>
      <c r="H5" s="163"/>
      <c r="I5" s="163"/>
      <c r="J5" s="163"/>
    </row>
    <row r="6" spans="1:10" s="63" customFormat="1" ht="12.75">
      <c r="A6" s="49" t="s">
        <v>124</v>
      </c>
      <c r="B6" s="49"/>
      <c r="C6" s="49"/>
      <c r="D6" s="125"/>
      <c r="E6" s="125"/>
      <c r="F6" s="125"/>
      <c r="G6" s="125"/>
      <c r="H6" s="125"/>
      <c r="I6" s="125"/>
      <c r="J6" s="125"/>
    </row>
    <row r="7" spans="1:10" s="63" customFormat="1" ht="12.75">
      <c r="A7" s="62"/>
      <c r="B7" s="62"/>
      <c r="C7" s="62"/>
      <c r="D7" s="125"/>
      <c r="E7" s="126"/>
      <c r="F7" s="60"/>
      <c r="G7" s="131"/>
      <c r="H7" s="127"/>
      <c r="I7" s="127"/>
      <c r="J7" s="127"/>
    </row>
    <row r="8" spans="1:7" s="63" customFormat="1" ht="12.75">
      <c r="A8" s="48" t="s">
        <v>31</v>
      </c>
      <c r="B8" s="48"/>
      <c r="C8" s="48"/>
      <c r="G8" s="61"/>
    </row>
    <row r="9" spans="1:10" s="63" customFormat="1" ht="12.75">
      <c r="A9" s="59" t="s">
        <v>32</v>
      </c>
      <c r="B9" s="138">
        <f>+'Lychees estab &amp; prod.costs'!Q54</f>
        <v>898.0369230769231</v>
      </c>
      <c r="C9" s="138">
        <f>+B9</f>
        <v>898.0369230769231</v>
      </c>
      <c r="D9" s="138">
        <f aca="true" t="shared" si="1" ref="D9:J9">+C9</f>
        <v>898.0369230769231</v>
      </c>
      <c r="E9" s="138">
        <f t="shared" si="1"/>
        <v>898.0369230769231</v>
      </c>
      <c r="F9" s="138">
        <f t="shared" si="1"/>
        <v>898.0369230769231</v>
      </c>
      <c r="G9" s="138">
        <f t="shared" si="1"/>
        <v>898.0369230769231</v>
      </c>
      <c r="H9" s="138">
        <f t="shared" si="1"/>
        <v>898.0369230769231</v>
      </c>
      <c r="I9" s="138">
        <f t="shared" si="1"/>
        <v>898.0369230769231</v>
      </c>
      <c r="J9" s="138">
        <f t="shared" si="1"/>
        <v>898.0369230769231</v>
      </c>
    </row>
    <row r="10" spans="1:10" s="63" customFormat="1" ht="12.75">
      <c r="A10" s="59" t="s">
        <v>45</v>
      </c>
      <c r="B10" s="138">
        <f>+('Lychees estab &amp; prod.costs'!$C$56*B4)+0.15*(0.8*B4)+(B4*'Lychees estab &amp; prod.costs'!$C$58)+(B4*'Lychees estab &amp; prod.costs'!$C$59)</f>
        <v>1163.6869565217391</v>
      </c>
      <c r="C10" s="138">
        <f>+('Lychees estab &amp; prod.costs'!$C$56*C4)+0.15*(0.8*C4)+(C4*'Lychees estab &amp; prod.costs'!$C$58)+(C4*'Lychees estab &amp; prod.costs'!$C$59)</f>
        <v>1454.608695652174</v>
      </c>
      <c r="D10" s="138">
        <f>+('Lychees estab &amp; prod.costs'!$C$56*D4)+0.15*(0.8*D4)+(D4*'Lychees estab &amp; prod.costs'!$C$58)+(D4*'Lychees estab &amp; prod.costs'!$C$59)</f>
        <v>1745.5304347826086</v>
      </c>
      <c r="E10" s="138">
        <f>+('Lychees estab &amp; prod.costs'!$C$56*E4)+0.15*(0.8*E4)+(E4*'Lychees estab &amp; prod.costs'!$C$58)+(E4*'Lychees estab &amp; prod.costs'!$C$59)</f>
        <v>2036.4521739130432</v>
      </c>
      <c r="F10" s="138">
        <f>+('Lychees estab &amp; prod.costs'!$C$56*F4)+0.15*(0.8*F4)+(F4*'Lychees estab &amp; prod.costs'!$C$58)+(F4*'Lychees estab &amp; prod.costs'!$C$59)</f>
        <v>2327.3739130434783</v>
      </c>
      <c r="G10" s="138">
        <f>+('Lychees estab &amp; prod.costs'!$C$56*G4)+0.15*(0.8*G4)+(G4*'Lychees estab &amp; prod.costs'!$C$58)+(G4*'Lychees estab &amp; prod.costs'!$C$59)</f>
        <v>2618.295652173913</v>
      </c>
      <c r="H10" s="138">
        <f>+('Lychees estab &amp; prod.costs'!$C$56*H4)+0.15*(0.8*H4)+(H4*'Lychees estab &amp; prod.costs'!$C$58)+(H4*'Lychees estab &amp; prod.costs'!$C$59)</f>
        <v>2909.217391304348</v>
      </c>
      <c r="I10" s="138">
        <f>+('Lychees estab &amp; prod.costs'!$C$56*I4)+0.15*(0.8*I4)+(I4*'Lychees estab &amp; prod.costs'!$C$58)+(I4*'Lychees estab &amp; prod.costs'!$C$59)</f>
        <v>3200.1391304347826</v>
      </c>
      <c r="J10" s="138">
        <f>+('Lychees estab &amp; prod.costs'!$C$56*J4)+0.15*(0.8*J4)+(J4*'Lychees estab &amp; prod.costs'!$C$58)+(J4*'Lychees estab &amp; prod.costs'!$C$59)</f>
        <v>3491.060869565217</v>
      </c>
    </row>
    <row r="11" spans="1:10" s="63" customFormat="1" ht="12.75">
      <c r="A11" s="87" t="s">
        <v>46</v>
      </c>
      <c r="B11" s="138">
        <f>+'Lychees estab &amp; prod.costs'!K60+'Lychees estab &amp; prod.costs'!K61</f>
        <v>13.600000000000001</v>
      </c>
      <c r="C11" s="138">
        <f>+B11</f>
        <v>13.600000000000001</v>
      </c>
      <c r="D11" s="138">
        <f aca="true" t="shared" si="2" ref="D11:J11">+C11</f>
        <v>13.600000000000001</v>
      </c>
      <c r="E11" s="138">
        <f t="shared" si="2"/>
        <v>13.600000000000001</v>
      </c>
      <c r="F11" s="138">
        <f t="shared" si="2"/>
        <v>13.600000000000001</v>
      </c>
      <c r="G11" s="138">
        <f t="shared" si="2"/>
        <v>13.600000000000001</v>
      </c>
      <c r="H11" s="138">
        <f t="shared" si="2"/>
        <v>13.600000000000001</v>
      </c>
      <c r="I11" s="138">
        <f t="shared" si="2"/>
        <v>13.600000000000001</v>
      </c>
      <c r="J11" s="138">
        <f t="shared" si="2"/>
        <v>13.600000000000001</v>
      </c>
    </row>
    <row r="12" spans="1:10" s="63" customFormat="1" ht="12.75">
      <c r="A12" s="87"/>
      <c r="B12" s="138"/>
      <c r="C12" s="138"/>
      <c r="D12" s="128"/>
      <c r="E12" s="128"/>
      <c r="F12" s="128"/>
      <c r="G12" s="128"/>
      <c r="H12" s="128"/>
      <c r="I12" s="128"/>
      <c r="J12" s="128"/>
    </row>
    <row r="13" spans="1:10" s="63" customFormat="1" ht="12.75">
      <c r="A13" s="59" t="s">
        <v>33</v>
      </c>
      <c r="B13" s="138">
        <f>SUM(B9:B12)</f>
        <v>2075.323879598662</v>
      </c>
      <c r="C13" s="138">
        <f aca="true" t="shared" si="3" ref="C13:J13">SUM(C9:C12)</f>
        <v>2366.245618729097</v>
      </c>
      <c r="D13" s="138">
        <f t="shared" si="3"/>
        <v>2657.1673578595314</v>
      </c>
      <c r="E13" s="138">
        <f t="shared" si="3"/>
        <v>2948.089096989966</v>
      </c>
      <c r="F13" s="138">
        <f>SUM(F9:F12)</f>
        <v>3239.0108361204016</v>
      </c>
      <c r="G13" s="138">
        <f t="shared" si="3"/>
        <v>3529.932575250836</v>
      </c>
      <c r="H13" s="138">
        <f t="shared" si="3"/>
        <v>3820.854314381271</v>
      </c>
      <c r="I13" s="138">
        <f t="shared" si="3"/>
        <v>4111.776053511706</v>
      </c>
      <c r="J13" s="138">
        <f t="shared" si="3"/>
        <v>4402.6977926421405</v>
      </c>
    </row>
    <row r="14" spans="1:10" s="63" customFormat="1" ht="12.75">
      <c r="A14" s="59" t="s">
        <v>34</v>
      </c>
      <c r="B14" s="139">
        <f>B13/B4</f>
        <v>0.7629867204406846</v>
      </c>
      <c r="C14" s="139">
        <f aca="true" t="shared" si="4" ref="C14:J14">C13/C4</f>
        <v>0.695954593743852</v>
      </c>
      <c r="D14" s="139">
        <f t="shared" si="4"/>
        <v>0.651266509279297</v>
      </c>
      <c r="E14" s="139">
        <f t="shared" si="4"/>
        <v>0.6193464489474718</v>
      </c>
      <c r="F14" s="139">
        <f t="shared" si="4"/>
        <v>0.5954064036986032</v>
      </c>
      <c r="G14" s="139">
        <f t="shared" si="4"/>
        <v>0.5767863685050386</v>
      </c>
      <c r="H14" s="139">
        <f t="shared" si="4"/>
        <v>0.5618903403501869</v>
      </c>
      <c r="I14" s="139">
        <f t="shared" si="4"/>
        <v>0.5497026809507628</v>
      </c>
      <c r="J14" s="139">
        <f t="shared" si="4"/>
        <v>0.5395462981179093</v>
      </c>
    </row>
    <row r="15" spans="1:10" s="63" customFormat="1" ht="12.75">
      <c r="A15" s="59"/>
      <c r="B15" s="140"/>
      <c r="C15" s="140"/>
      <c r="D15" s="128"/>
      <c r="E15" s="128"/>
      <c r="F15" s="128"/>
      <c r="G15" s="128"/>
      <c r="H15" s="128"/>
      <c r="I15" s="128"/>
      <c r="J15" s="128"/>
    </row>
    <row r="16" spans="1:10" s="63" customFormat="1" ht="12.75">
      <c r="A16" s="59" t="s">
        <v>35</v>
      </c>
      <c r="B16" s="138">
        <f>+'Lychees estab &amp; prod.costs'!Q69</f>
        <v>634.4765692307692</v>
      </c>
      <c r="C16" s="138">
        <f>+B16</f>
        <v>634.4765692307692</v>
      </c>
      <c r="D16" s="138">
        <f aca="true" t="shared" si="5" ref="D16:J16">+C16</f>
        <v>634.4765692307692</v>
      </c>
      <c r="E16" s="138">
        <f t="shared" si="5"/>
        <v>634.4765692307692</v>
      </c>
      <c r="F16" s="138">
        <f t="shared" si="5"/>
        <v>634.4765692307692</v>
      </c>
      <c r="G16" s="138">
        <f t="shared" si="5"/>
        <v>634.4765692307692</v>
      </c>
      <c r="H16" s="138">
        <f t="shared" si="5"/>
        <v>634.4765692307692</v>
      </c>
      <c r="I16" s="138">
        <f t="shared" si="5"/>
        <v>634.4765692307692</v>
      </c>
      <c r="J16" s="138">
        <f t="shared" si="5"/>
        <v>634.4765692307692</v>
      </c>
    </row>
    <row r="17" spans="1:10" s="63" customFormat="1" ht="12.75">
      <c r="A17" s="59"/>
      <c r="B17" s="140"/>
      <c r="C17" s="140"/>
      <c r="D17" s="140"/>
      <c r="E17" s="140"/>
      <c r="F17" s="140"/>
      <c r="G17" s="140"/>
      <c r="H17" s="140"/>
      <c r="I17" s="140"/>
      <c r="J17" s="140"/>
    </row>
    <row r="18" spans="1:10" s="63" customFormat="1" ht="12.75">
      <c r="A18" s="59" t="s">
        <v>36</v>
      </c>
      <c r="B18" s="138">
        <f aca="true" t="shared" si="6" ref="B18:J18">B13+B16</f>
        <v>2709.8004488294314</v>
      </c>
      <c r="C18" s="138">
        <f t="shared" si="6"/>
        <v>3000.722187959866</v>
      </c>
      <c r="D18" s="138">
        <f t="shared" si="6"/>
        <v>3291.6439270903006</v>
      </c>
      <c r="E18" s="138">
        <f t="shared" si="6"/>
        <v>3582.5656662207352</v>
      </c>
      <c r="F18" s="138">
        <f>F13+F16</f>
        <v>3873.4874053511708</v>
      </c>
      <c r="G18" s="138">
        <f t="shared" si="6"/>
        <v>4164.409144481606</v>
      </c>
      <c r="H18" s="138">
        <f t="shared" si="6"/>
        <v>4455.3308836120395</v>
      </c>
      <c r="I18" s="138">
        <f t="shared" si="6"/>
        <v>4746.252622742475</v>
      </c>
      <c r="J18" s="138">
        <f t="shared" si="6"/>
        <v>5037.17436187291</v>
      </c>
    </row>
    <row r="19" spans="1:10" s="63" customFormat="1" ht="12.75">
      <c r="A19" s="59" t="s">
        <v>115</v>
      </c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s="63" customFormat="1" ht="12.75">
      <c r="A20" s="133" t="s">
        <v>116</v>
      </c>
      <c r="B20" s="139">
        <f aca="true" t="shared" si="7" ref="B20:J20">+B18/B4</f>
        <v>0.9962501650108203</v>
      </c>
      <c r="C20" s="139">
        <f t="shared" si="7"/>
        <v>0.8825653493999606</v>
      </c>
      <c r="D20" s="139">
        <f t="shared" si="7"/>
        <v>0.8067754723260541</v>
      </c>
      <c r="E20" s="139">
        <f t="shared" si="7"/>
        <v>0.7526398458446922</v>
      </c>
      <c r="F20" s="139">
        <f t="shared" si="7"/>
        <v>0.7120381259836711</v>
      </c>
      <c r="G20" s="139">
        <f t="shared" si="7"/>
        <v>0.68045901053621</v>
      </c>
      <c r="H20" s="139">
        <f t="shared" si="7"/>
        <v>0.6551957181782411</v>
      </c>
      <c r="I20" s="139">
        <f t="shared" si="7"/>
        <v>0.6345257517035394</v>
      </c>
      <c r="J20" s="139">
        <f t="shared" si="7"/>
        <v>0.6173007796412879</v>
      </c>
    </row>
    <row r="21" spans="1:10" s="63" customFormat="1" ht="12.75">
      <c r="A21" s="59"/>
      <c r="B21" s="140"/>
      <c r="C21" s="140"/>
      <c r="D21" s="128"/>
      <c r="E21" s="128"/>
      <c r="F21" s="128"/>
      <c r="G21" s="128"/>
      <c r="H21" s="128"/>
      <c r="I21" s="128"/>
      <c r="J21" s="128"/>
    </row>
    <row r="22" spans="1:10" s="63" customFormat="1" ht="12.75">
      <c r="A22" s="59" t="s">
        <v>37</v>
      </c>
      <c r="B22" s="138">
        <f>+'Lychees estab &amp; prod.costs'!Q76</f>
        <v>2369.831826887076</v>
      </c>
      <c r="C22" s="138">
        <f>+B22</f>
        <v>2369.831826887076</v>
      </c>
      <c r="D22" s="138">
        <f aca="true" t="shared" si="8" ref="D22:J22">+C22</f>
        <v>2369.831826887076</v>
      </c>
      <c r="E22" s="138">
        <f t="shared" si="8"/>
        <v>2369.831826887076</v>
      </c>
      <c r="F22" s="138">
        <f t="shared" si="8"/>
        <v>2369.831826887076</v>
      </c>
      <c r="G22" s="138">
        <f t="shared" si="8"/>
        <v>2369.831826887076</v>
      </c>
      <c r="H22" s="138">
        <f t="shared" si="8"/>
        <v>2369.831826887076</v>
      </c>
      <c r="I22" s="138">
        <f t="shared" si="8"/>
        <v>2369.831826887076</v>
      </c>
      <c r="J22" s="138">
        <f t="shared" si="8"/>
        <v>2369.831826887076</v>
      </c>
    </row>
    <row r="23" spans="1:10" s="63" customFormat="1" ht="12.75">
      <c r="A23" s="59"/>
      <c r="B23" s="140"/>
      <c r="C23" s="140"/>
      <c r="D23" s="128"/>
      <c r="E23" s="128"/>
      <c r="F23" s="128"/>
      <c r="G23" s="128"/>
      <c r="H23" s="128"/>
      <c r="I23" s="128"/>
      <c r="J23" s="128"/>
    </row>
    <row r="24" spans="1:10" s="63" customFormat="1" ht="12.75">
      <c r="A24" s="59" t="s">
        <v>38</v>
      </c>
      <c r="B24" s="125">
        <f aca="true" t="shared" si="9" ref="B24:J24">B22+B18</f>
        <v>5079.632275716507</v>
      </c>
      <c r="C24" s="125">
        <f t="shared" si="9"/>
        <v>5370.554014846943</v>
      </c>
      <c r="D24" s="125">
        <f t="shared" si="9"/>
        <v>5661.475753977376</v>
      </c>
      <c r="E24" s="125">
        <f t="shared" si="9"/>
        <v>5952.397493107812</v>
      </c>
      <c r="F24" s="125">
        <f t="shared" si="9"/>
        <v>6243.319232238247</v>
      </c>
      <c r="G24" s="125">
        <f t="shared" si="9"/>
        <v>6534.240971368682</v>
      </c>
      <c r="H24" s="125">
        <f t="shared" si="9"/>
        <v>6825.162710499116</v>
      </c>
      <c r="I24" s="125">
        <f t="shared" si="9"/>
        <v>7116.084449629551</v>
      </c>
      <c r="J24" s="125">
        <f t="shared" si="9"/>
        <v>7407.006188759986</v>
      </c>
    </row>
    <row r="25" spans="1:10" s="63" customFormat="1" ht="12.75">
      <c r="A25" s="59" t="s">
        <v>117</v>
      </c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63" customFormat="1" ht="13.5" customHeight="1">
      <c r="A26" s="132" t="s">
        <v>118</v>
      </c>
      <c r="B26" s="141">
        <f aca="true" t="shared" si="10" ref="B26:J26">+B24/B4</f>
        <v>1.8675118660722452</v>
      </c>
      <c r="C26" s="141">
        <f t="shared" si="10"/>
        <v>1.5795747102491007</v>
      </c>
      <c r="D26" s="141">
        <f t="shared" si="10"/>
        <v>1.387616606367004</v>
      </c>
      <c r="E26" s="141">
        <f t="shared" si="10"/>
        <v>1.2505036750226495</v>
      </c>
      <c r="F26" s="141">
        <f t="shared" si="10"/>
        <v>1.1476689765143837</v>
      </c>
      <c r="G26" s="141">
        <f t="shared" si="10"/>
        <v>1.0676864332301768</v>
      </c>
      <c r="H26" s="141">
        <f t="shared" si="10"/>
        <v>1.0037003986028112</v>
      </c>
      <c r="I26" s="141">
        <f t="shared" si="10"/>
        <v>0.9513481884531486</v>
      </c>
      <c r="J26" s="141">
        <f t="shared" si="10"/>
        <v>0.907721346661763</v>
      </c>
    </row>
    <row r="27" spans="1:10" s="63" customFormat="1" ht="12.75" hidden="1">
      <c r="A27" s="132"/>
      <c r="B27" s="134"/>
      <c r="C27" s="134"/>
      <c r="D27" s="134"/>
      <c r="E27" s="134"/>
      <c r="F27" s="134"/>
      <c r="G27" s="134"/>
      <c r="H27" s="134"/>
      <c r="I27" s="134"/>
      <c r="J27" s="134"/>
    </row>
    <row r="28" s="63" customFormat="1" ht="12.75"/>
    <row r="29" spans="1:10" s="63" customFormat="1" ht="12.75">
      <c r="A29" s="164" t="s">
        <v>39</v>
      </c>
      <c r="B29" s="164"/>
      <c r="C29" s="164"/>
      <c r="D29" s="164"/>
      <c r="E29" s="164"/>
      <c r="F29" s="164"/>
      <c r="G29" s="164"/>
      <c r="H29" s="164"/>
      <c r="I29" s="164"/>
      <c r="J29" s="164"/>
    </row>
    <row r="30" spans="1:10" s="63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s="63" customFormat="1" ht="12.75">
      <c r="A31" s="51" t="s">
        <v>40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0" s="63" customFormat="1" ht="12.75">
      <c r="A32" s="124">
        <v>1.1</v>
      </c>
      <c r="B32" s="138">
        <f>(A32*$B$4)-$B$13</f>
        <v>916.6761204013383</v>
      </c>
      <c r="C32" s="138">
        <f>(A32*$C$4)-$C$13</f>
        <v>1373.7543812709037</v>
      </c>
      <c r="D32" s="138">
        <f>(A32*$D$4)-$D$13</f>
        <v>1830.8326421404686</v>
      </c>
      <c r="E32" s="138">
        <f>(A32*$E$4)-$E$13</f>
        <v>2287.910903010034</v>
      </c>
      <c r="F32" s="138">
        <f>(A32*$F$4)-$F$13</f>
        <v>2744.9891638795993</v>
      </c>
      <c r="G32" s="138">
        <f>(A32*$G$4)-$G$13</f>
        <v>3202.0674247491647</v>
      </c>
      <c r="H32" s="138">
        <f>(A32*$H$4)-$H$13</f>
        <v>3659.14568561873</v>
      </c>
      <c r="I32" s="138">
        <f>(A32*$I$4)-$I$13</f>
        <v>4116.223946488294</v>
      </c>
      <c r="J32" s="138">
        <f>(A32*$J$4)-$J$13</f>
        <v>4573.3022073578595</v>
      </c>
    </row>
    <row r="33" spans="1:10" s="63" customFormat="1" ht="12.75">
      <c r="A33" s="124">
        <v>1.15</v>
      </c>
      <c r="B33" s="138">
        <f aca="true" t="shared" si="11" ref="B33:B38">(A33*$B$4)-$B$13</f>
        <v>1052.6761204013374</v>
      </c>
      <c r="C33" s="138">
        <f aca="true" t="shared" si="12" ref="C33:C38">(A33*$C$4)-$C$13</f>
        <v>1543.7543812709027</v>
      </c>
      <c r="D33" s="138">
        <f aca="true" t="shared" si="13" ref="D33:D38">(A33*$D$4)-$D$13</f>
        <v>2034.8326421404686</v>
      </c>
      <c r="E33" s="138">
        <f aca="true" t="shared" si="14" ref="E33:E38">(A33*$E$4)-$E$13</f>
        <v>2525.910903010034</v>
      </c>
      <c r="F33" s="138">
        <f aca="true" t="shared" si="15" ref="F33:F38">(A33*$F$4)-$F$13</f>
        <v>3016.9891638795975</v>
      </c>
      <c r="G33" s="138">
        <f aca="true" t="shared" si="16" ref="G33:G38">(A33*$G$4)-$G$13</f>
        <v>3508.067424749163</v>
      </c>
      <c r="H33" s="138">
        <f aca="true" t="shared" si="17" ref="H33:H38">(A33*$H$4)-$H$13</f>
        <v>3999.1456856187283</v>
      </c>
      <c r="I33" s="138">
        <f aca="true" t="shared" si="18" ref="I33:I38">(A33*$I$4)-$I$13</f>
        <v>4490.223946488294</v>
      </c>
      <c r="J33" s="138">
        <f aca="true" t="shared" si="19" ref="J33:J38">(A33*$J$4)-$J$13</f>
        <v>4981.3022073578595</v>
      </c>
    </row>
    <row r="34" spans="1:10" s="63" customFormat="1" ht="12.75">
      <c r="A34" s="124">
        <v>1.2</v>
      </c>
      <c r="B34" s="138">
        <f t="shared" si="11"/>
        <v>1188.6761204013378</v>
      </c>
      <c r="C34" s="138">
        <f t="shared" si="12"/>
        <v>1713.7543812709032</v>
      </c>
      <c r="D34" s="138">
        <f t="shared" si="13"/>
        <v>2238.8326421404686</v>
      </c>
      <c r="E34" s="138">
        <f t="shared" si="14"/>
        <v>2763.910903010034</v>
      </c>
      <c r="F34" s="138">
        <f t="shared" si="15"/>
        <v>3288.9891638795984</v>
      </c>
      <c r="G34" s="138">
        <f t="shared" si="16"/>
        <v>3814.067424749164</v>
      </c>
      <c r="H34" s="138">
        <f t="shared" si="17"/>
        <v>4339.145685618729</v>
      </c>
      <c r="I34" s="138">
        <f t="shared" si="18"/>
        <v>4864.223946488294</v>
      </c>
      <c r="J34" s="138">
        <f t="shared" si="19"/>
        <v>5389.3022073578595</v>
      </c>
    </row>
    <row r="35" spans="1:10" s="63" customFormat="1" ht="12.75">
      <c r="A35" s="124">
        <v>1.25</v>
      </c>
      <c r="B35" s="138">
        <f t="shared" si="11"/>
        <v>1324.6761204013378</v>
      </c>
      <c r="C35" s="138">
        <f t="shared" si="12"/>
        <v>1883.7543812709032</v>
      </c>
      <c r="D35" s="138">
        <f t="shared" si="13"/>
        <v>2442.8326421404686</v>
      </c>
      <c r="E35" s="138">
        <f t="shared" si="14"/>
        <v>3001.910903010034</v>
      </c>
      <c r="F35" s="138">
        <f t="shared" si="15"/>
        <v>3560.9891638795984</v>
      </c>
      <c r="G35" s="138">
        <f t="shared" si="16"/>
        <v>4120.067424749164</v>
      </c>
      <c r="H35" s="138">
        <f t="shared" si="17"/>
        <v>4679.145685618729</v>
      </c>
      <c r="I35" s="138">
        <f t="shared" si="18"/>
        <v>5238.223946488294</v>
      </c>
      <c r="J35" s="138">
        <f t="shared" si="19"/>
        <v>5797.3022073578595</v>
      </c>
    </row>
    <row r="36" spans="1:10" s="63" customFormat="1" ht="12.75">
      <c r="A36" s="124">
        <v>1.3</v>
      </c>
      <c r="B36" s="138">
        <f t="shared" si="11"/>
        <v>1460.6761204013378</v>
      </c>
      <c r="C36" s="138">
        <f t="shared" si="12"/>
        <v>2053.754381270903</v>
      </c>
      <c r="D36" s="138">
        <f t="shared" si="13"/>
        <v>2646.8326421404686</v>
      </c>
      <c r="E36" s="138">
        <f t="shared" si="14"/>
        <v>3239.910903010034</v>
      </c>
      <c r="F36" s="138">
        <f t="shared" si="15"/>
        <v>3832.9891638795984</v>
      </c>
      <c r="G36" s="138">
        <f t="shared" si="16"/>
        <v>4426.067424749164</v>
      </c>
      <c r="H36" s="138">
        <f t="shared" si="17"/>
        <v>5019.145685618729</v>
      </c>
      <c r="I36" s="138">
        <f t="shared" si="18"/>
        <v>5612.223946488294</v>
      </c>
      <c r="J36" s="138">
        <f t="shared" si="19"/>
        <v>6205.3022073578595</v>
      </c>
    </row>
    <row r="37" spans="1:10" s="63" customFormat="1" ht="12.75">
      <c r="A37" s="124">
        <v>1.35</v>
      </c>
      <c r="B37" s="138">
        <f t="shared" si="11"/>
        <v>1596.6761204013383</v>
      </c>
      <c r="C37" s="138">
        <f t="shared" si="12"/>
        <v>2223.754381270903</v>
      </c>
      <c r="D37" s="138">
        <f t="shared" si="13"/>
        <v>2850.8326421404686</v>
      </c>
      <c r="E37" s="138">
        <f t="shared" si="14"/>
        <v>3477.910903010034</v>
      </c>
      <c r="F37" s="138">
        <f t="shared" si="15"/>
        <v>4104.9891638796</v>
      </c>
      <c r="G37" s="138">
        <f t="shared" si="16"/>
        <v>4732.067424749164</v>
      </c>
      <c r="H37" s="138">
        <f t="shared" si="17"/>
        <v>5359.145685618729</v>
      </c>
      <c r="I37" s="138">
        <f t="shared" si="18"/>
        <v>5986.223946488294</v>
      </c>
      <c r="J37" s="138">
        <f t="shared" si="19"/>
        <v>6613.3022073578595</v>
      </c>
    </row>
    <row r="38" spans="1:10" s="63" customFormat="1" ht="12.75">
      <c r="A38" s="142">
        <v>1.4</v>
      </c>
      <c r="B38" s="137">
        <f t="shared" si="11"/>
        <v>1732.6761204013374</v>
      </c>
      <c r="C38" s="137">
        <f t="shared" si="12"/>
        <v>2393.754381270903</v>
      </c>
      <c r="D38" s="137">
        <f t="shared" si="13"/>
        <v>3054.8326421404686</v>
      </c>
      <c r="E38" s="137">
        <f t="shared" si="14"/>
        <v>3715.910903010034</v>
      </c>
      <c r="F38" s="137">
        <f t="shared" si="15"/>
        <v>4376.989163879598</v>
      </c>
      <c r="G38" s="137">
        <f t="shared" si="16"/>
        <v>5038.067424749164</v>
      </c>
      <c r="H38" s="137">
        <f t="shared" si="17"/>
        <v>5699.145685618729</v>
      </c>
      <c r="I38" s="137">
        <f t="shared" si="18"/>
        <v>6360.223946488294</v>
      </c>
      <c r="J38" s="137">
        <f t="shared" si="19"/>
        <v>7021.3022073578595</v>
      </c>
    </row>
    <row r="39" spans="1:3" s="63" customFormat="1" ht="12.75">
      <c r="A39" s="128"/>
      <c r="B39" s="128"/>
      <c r="C39" s="128"/>
    </row>
    <row r="40" spans="1:10" s="63" customFormat="1" ht="12.75">
      <c r="A40" s="160" t="s">
        <v>48</v>
      </c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0" s="63" customFormat="1" ht="12.75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s="63" customFormat="1" ht="12.75">
      <c r="A42" s="46" t="s">
        <v>40</v>
      </c>
      <c r="B42" s="46"/>
      <c r="C42" s="46"/>
      <c r="D42" s="46"/>
      <c r="E42" s="46"/>
      <c r="F42" s="46"/>
      <c r="G42" s="46"/>
      <c r="H42" s="46"/>
      <c r="I42" s="46"/>
      <c r="J42" s="46"/>
    </row>
    <row r="43" spans="1:10" s="63" customFormat="1" ht="12.75">
      <c r="A43" s="124">
        <v>1.1</v>
      </c>
      <c r="B43" s="125">
        <f>(A43*$B$4)-$B$18</f>
        <v>282.19955117056907</v>
      </c>
      <c r="C43" s="125">
        <f>(A43*$C$4)-$C$18</f>
        <v>739.2778120401344</v>
      </c>
      <c r="D43" s="125">
        <f>(A43*$D$4)-$D$18</f>
        <v>1196.3560729096994</v>
      </c>
      <c r="E43" s="125">
        <f>(A43*$E$4)-$E$18</f>
        <v>1653.4343337792648</v>
      </c>
      <c r="F43" s="125">
        <f>(A43*$F$4)-$F$18</f>
        <v>2110.51259464883</v>
      </c>
      <c r="G43" s="125">
        <f>(A43*$G$4)-$G$18</f>
        <v>2567.590855518395</v>
      </c>
      <c r="H43" s="125">
        <f>(A43*$H$4)-$H$18</f>
        <v>3024.6691163879614</v>
      </c>
      <c r="I43" s="125">
        <f>(A43*$I$4)-$I$18</f>
        <v>3481.747377257525</v>
      </c>
      <c r="J43" s="125">
        <f>(A43*$J$4)-$J$18</f>
        <v>3938.8256381270903</v>
      </c>
    </row>
    <row r="44" spans="1:10" s="63" customFormat="1" ht="12.75">
      <c r="A44" s="124">
        <v>1.15</v>
      </c>
      <c r="B44" s="125">
        <f aca="true" t="shared" si="20" ref="B44:B49">(A44*$B$4)-$B$18</f>
        <v>418.19955117056816</v>
      </c>
      <c r="C44" s="125">
        <f aca="true" t="shared" si="21" ref="C44:C49">(A44*$C$4)-$C$18</f>
        <v>909.2778120401335</v>
      </c>
      <c r="D44" s="125">
        <f aca="true" t="shared" si="22" ref="D44:D49">(A44*$D$4)-$D$18</f>
        <v>1400.3560729096994</v>
      </c>
      <c r="E44" s="125">
        <f aca="true" t="shared" si="23" ref="E44:E49">(A44*$E$4)-$E$18</f>
        <v>1891.4343337792648</v>
      </c>
      <c r="F44" s="125">
        <f aca="true" t="shared" si="24" ref="F44:F49">(A44*$F$4)-$F$18</f>
        <v>2382.5125946488283</v>
      </c>
      <c r="G44" s="125">
        <f aca="true" t="shared" si="25" ref="G44:G49">(A44*$G$4)-$G$18</f>
        <v>2873.5908555183933</v>
      </c>
      <c r="H44" s="125">
        <f aca="true" t="shared" si="26" ref="H44:H49">(A44*$H$4)-$H$18</f>
        <v>3364.6691163879595</v>
      </c>
      <c r="I44" s="125">
        <f aca="true" t="shared" si="27" ref="I44:I49">(A44*$I$4)-$I$18</f>
        <v>3855.747377257525</v>
      </c>
      <c r="J44" s="125">
        <f aca="true" t="shared" si="28" ref="J44:J49">(A44*$J$4)-$J$18</f>
        <v>4346.82563812709</v>
      </c>
    </row>
    <row r="45" spans="1:10" s="63" customFormat="1" ht="12.75">
      <c r="A45" s="124">
        <v>1.2</v>
      </c>
      <c r="B45" s="125">
        <f t="shared" si="20"/>
        <v>554.1995511705686</v>
      </c>
      <c r="C45" s="125">
        <f t="shared" si="21"/>
        <v>1079.277812040134</v>
      </c>
      <c r="D45" s="125">
        <f t="shared" si="22"/>
        <v>1604.3560729096994</v>
      </c>
      <c r="E45" s="125">
        <f t="shared" si="23"/>
        <v>2129.4343337792648</v>
      </c>
      <c r="F45" s="125">
        <f t="shared" si="24"/>
        <v>2654.5125946488292</v>
      </c>
      <c r="G45" s="125">
        <f t="shared" si="25"/>
        <v>3179.590855518394</v>
      </c>
      <c r="H45" s="125">
        <f t="shared" si="26"/>
        <v>3704.6691163879605</v>
      </c>
      <c r="I45" s="125">
        <f t="shared" si="27"/>
        <v>4229.747377257525</v>
      </c>
      <c r="J45" s="125">
        <f t="shared" si="28"/>
        <v>4754.82563812709</v>
      </c>
    </row>
    <row r="46" spans="1:10" s="63" customFormat="1" ht="12.75">
      <c r="A46" s="124">
        <v>1.25</v>
      </c>
      <c r="B46" s="125">
        <f t="shared" si="20"/>
        <v>690.1995511705686</v>
      </c>
      <c r="C46" s="125">
        <f t="shared" si="21"/>
        <v>1249.277812040134</v>
      </c>
      <c r="D46" s="125">
        <f t="shared" si="22"/>
        <v>1808.3560729096994</v>
      </c>
      <c r="E46" s="125">
        <f t="shared" si="23"/>
        <v>2367.4343337792648</v>
      </c>
      <c r="F46" s="125">
        <f t="shared" si="24"/>
        <v>2926.5125946488292</v>
      </c>
      <c r="G46" s="125">
        <f t="shared" si="25"/>
        <v>3485.590855518394</v>
      </c>
      <c r="H46" s="125">
        <f t="shared" si="26"/>
        <v>4044.6691163879605</v>
      </c>
      <c r="I46" s="125">
        <f t="shared" si="27"/>
        <v>4603.747377257525</v>
      </c>
      <c r="J46" s="125">
        <f t="shared" si="28"/>
        <v>5162.82563812709</v>
      </c>
    </row>
    <row r="47" spans="1:10" s="63" customFormat="1" ht="12.75">
      <c r="A47" s="124">
        <v>1.3</v>
      </c>
      <c r="B47" s="125">
        <f t="shared" si="20"/>
        <v>826.1995511705686</v>
      </c>
      <c r="C47" s="125">
        <f t="shared" si="21"/>
        <v>1419.277812040134</v>
      </c>
      <c r="D47" s="125">
        <f t="shared" si="22"/>
        <v>2012.3560729096994</v>
      </c>
      <c r="E47" s="125">
        <f t="shared" si="23"/>
        <v>2605.4343337792648</v>
      </c>
      <c r="F47" s="125">
        <f t="shared" si="24"/>
        <v>3198.5125946488292</v>
      </c>
      <c r="G47" s="125">
        <f t="shared" si="25"/>
        <v>3791.590855518394</v>
      </c>
      <c r="H47" s="125">
        <f t="shared" si="26"/>
        <v>4384.6691163879605</v>
      </c>
      <c r="I47" s="125">
        <f t="shared" si="27"/>
        <v>4977.747377257525</v>
      </c>
      <c r="J47" s="125">
        <f t="shared" si="28"/>
        <v>5570.82563812709</v>
      </c>
    </row>
    <row r="48" spans="1:10" s="63" customFormat="1" ht="12.75">
      <c r="A48" s="124">
        <v>1.35</v>
      </c>
      <c r="B48" s="125">
        <f t="shared" si="20"/>
        <v>962.1995511705691</v>
      </c>
      <c r="C48" s="125">
        <f t="shared" si="21"/>
        <v>1589.277812040134</v>
      </c>
      <c r="D48" s="125">
        <f t="shared" si="22"/>
        <v>2216.3560729096994</v>
      </c>
      <c r="E48" s="125">
        <f t="shared" si="23"/>
        <v>2843.4343337792648</v>
      </c>
      <c r="F48" s="125">
        <f t="shared" si="24"/>
        <v>3470.51259464883</v>
      </c>
      <c r="G48" s="125">
        <f t="shared" si="25"/>
        <v>4097.590855518394</v>
      </c>
      <c r="H48" s="125">
        <f t="shared" si="26"/>
        <v>4724.6691163879605</v>
      </c>
      <c r="I48" s="125">
        <f t="shared" si="27"/>
        <v>5351.747377257525</v>
      </c>
      <c r="J48" s="125">
        <f t="shared" si="28"/>
        <v>5978.82563812709</v>
      </c>
    </row>
    <row r="49" spans="1:10" s="63" customFormat="1" ht="12.75">
      <c r="A49" s="142">
        <v>1.4</v>
      </c>
      <c r="B49" s="137">
        <f t="shared" si="20"/>
        <v>1098.1995511705682</v>
      </c>
      <c r="C49" s="137">
        <f t="shared" si="21"/>
        <v>1759.277812040134</v>
      </c>
      <c r="D49" s="137">
        <f t="shared" si="22"/>
        <v>2420.3560729096994</v>
      </c>
      <c r="E49" s="137">
        <f t="shared" si="23"/>
        <v>3081.4343337792648</v>
      </c>
      <c r="F49" s="137">
        <f t="shared" si="24"/>
        <v>3742.5125946488283</v>
      </c>
      <c r="G49" s="137">
        <f t="shared" si="25"/>
        <v>4403.590855518394</v>
      </c>
      <c r="H49" s="137">
        <f t="shared" si="26"/>
        <v>5064.6691163879605</v>
      </c>
      <c r="I49" s="137">
        <f t="shared" si="27"/>
        <v>5725.747377257525</v>
      </c>
      <c r="J49" s="137">
        <f t="shared" si="28"/>
        <v>6386.82563812709</v>
      </c>
    </row>
    <row r="50" s="62" customFormat="1" ht="12.75"/>
    <row r="51" spans="1:10" s="63" customFormat="1" ht="12.75">
      <c r="A51" s="49" t="s">
        <v>60</v>
      </c>
      <c r="B51" s="62"/>
      <c r="C51" s="62"/>
      <c r="D51" s="62"/>
      <c r="E51" s="62"/>
      <c r="F51" s="62"/>
      <c r="G51" s="62"/>
      <c r="H51" s="62"/>
      <c r="I51" s="62"/>
      <c r="J51" s="62"/>
    </row>
    <row r="52" spans="1:10" s="63" customFormat="1" ht="12.75">
      <c r="A52" s="49"/>
      <c r="B52" s="62"/>
      <c r="C52" s="62"/>
      <c r="D52" s="62"/>
      <c r="E52" s="62"/>
      <c r="F52" s="62"/>
      <c r="G52" s="62"/>
      <c r="H52" s="62"/>
      <c r="I52" s="62"/>
      <c r="J52" s="62"/>
    </row>
    <row r="53" spans="1:10" s="63" customFormat="1" ht="12.75">
      <c r="A53" s="46" t="s">
        <v>40</v>
      </c>
      <c r="B53" s="62"/>
      <c r="C53" s="62"/>
      <c r="D53" s="62"/>
      <c r="E53" s="62"/>
      <c r="F53" s="62"/>
      <c r="G53" s="62"/>
      <c r="H53" s="62"/>
      <c r="I53" s="62"/>
      <c r="J53" s="62"/>
    </row>
    <row r="54" spans="1:10" s="63" customFormat="1" ht="12.75">
      <c r="A54" s="124">
        <v>1.1</v>
      </c>
      <c r="B54" s="125">
        <f>(A54*$B$4)-$B$24</f>
        <v>-2087.6322757165067</v>
      </c>
      <c r="C54" s="125">
        <f>(A54*$C$4)-$C$24</f>
        <v>-1630.5540148469422</v>
      </c>
      <c r="D54" s="125">
        <f>(A54*$D$4)-$D$24</f>
        <v>-1173.4757539773764</v>
      </c>
      <c r="E54" s="125">
        <f>(A54*$E$4)-$E$24</f>
        <v>-716.3974931078119</v>
      </c>
      <c r="F54" s="125">
        <f>(A54*$F$4)-$F$24</f>
        <v>-259.3192322382465</v>
      </c>
      <c r="G54" s="125">
        <f>(A54*$G$4)-$G$24</f>
        <v>197.75902863131887</v>
      </c>
      <c r="H54" s="125">
        <f>(A54*$H$4)-$H$24</f>
        <v>654.8372895008852</v>
      </c>
      <c r="I54" s="125">
        <f>(A54*$I$4)-$I$24</f>
        <v>1111.9155503704487</v>
      </c>
      <c r="J54" s="125">
        <f>(A54*$J$4)-$J$24</f>
        <v>1568.993811240014</v>
      </c>
    </row>
    <row r="55" spans="1:10" s="63" customFormat="1" ht="12.75">
      <c r="A55" s="124">
        <v>1.15</v>
      </c>
      <c r="B55" s="125">
        <f aca="true" t="shared" si="29" ref="B55:B60">(A55*$B$4)-$B$24</f>
        <v>-1951.6322757165076</v>
      </c>
      <c r="C55" s="125">
        <f aca="true" t="shared" si="30" ref="C55:C60">(A55*$C$4)-$C$24</f>
        <v>-1460.5540148469431</v>
      </c>
      <c r="D55" s="125">
        <f aca="true" t="shared" si="31" ref="D55:D60">(A55*$D$4)-$D$24</f>
        <v>-969.4757539773764</v>
      </c>
      <c r="E55" s="125">
        <f aca="true" t="shared" si="32" ref="E55:E60">(A55*$E$4)-$E$24</f>
        <v>-478.3974931078119</v>
      </c>
      <c r="F55" s="125">
        <f aca="true" t="shared" si="33" ref="F55:F60">(A55*$F$4)-$F$24</f>
        <v>12.680767761751667</v>
      </c>
      <c r="G55" s="125">
        <f aca="true" t="shared" si="34" ref="G55:G60">(A55*$G$4)-$G$24</f>
        <v>503.75902863131705</v>
      </c>
      <c r="H55" s="125">
        <f aca="true" t="shared" si="35" ref="H55:H60">(A55*$H$4)-$H$24</f>
        <v>994.8372895008833</v>
      </c>
      <c r="I55" s="125">
        <f aca="true" t="shared" si="36" ref="I55:I60">(A55*$I$4)-$I$24</f>
        <v>1485.9155503704487</v>
      </c>
      <c r="J55" s="125">
        <f aca="true" t="shared" si="37" ref="J55:J60">(A55*$J$4)-$J$24</f>
        <v>1976.993811240014</v>
      </c>
    </row>
    <row r="56" spans="1:10" s="63" customFormat="1" ht="12.75">
      <c r="A56" s="124">
        <v>1.2</v>
      </c>
      <c r="B56" s="125">
        <f t="shared" si="29"/>
        <v>-1815.6322757165071</v>
      </c>
      <c r="C56" s="125">
        <f t="shared" si="30"/>
        <v>-1290.5540148469427</v>
      </c>
      <c r="D56" s="125">
        <f t="shared" si="31"/>
        <v>-765.4757539773764</v>
      </c>
      <c r="E56" s="125">
        <f t="shared" si="32"/>
        <v>-240.3974931078119</v>
      </c>
      <c r="F56" s="125">
        <f t="shared" si="33"/>
        <v>284.6807677617526</v>
      </c>
      <c r="G56" s="125">
        <f t="shared" si="34"/>
        <v>809.759028631318</v>
      </c>
      <c r="H56" s="125">
        <f t="shared" si="35"/>
        <v>1334.8372895008843</v>
      </c>
      <c r="I56" s="125">
        <f t="shared" si="36"/>
        <v>1859.9155503704487</v>
      </c>
      <c r="J56" s="125">
        <f t="shared" si="37"/>
        <v>2384.993811240014</v>
      </c>
    </row>
    <row r="57" spans="1:10" s="63" customFormat="1" ht="12.75">
      <c r="A57" s="124">
        <v>1.25</v>
      </c>
      <c r="B57" s="125">
        <f t="shared" si="29"/>
        <v>-1679.6322757165071</v>
      </c>
      <c r="C57" s="125">
        <f t="shared" si="30"/>
        <v>-1120.5540148469427</v>
      </c>
      <c r="D57" s="125">
        <f t="shared" si="31"/>
        <v>-561.4757539773764</v>
      </c>
      <c r="E57" s="125">
        <f t="shared" si="32"/>
        <v>-2.397493107811897</v>
      </c>
      <c r="F57" s="125">
        <f t="shared" si="33"/>
        <v>556.6807677617526</v>
      </c>
      <c r="G57" s="125">
        <f t="shared" si="34"/>
        <v>1115.759028631318</v>
      </c>
      <c r="H57" s="125">
        <f t="shared" si="35"/>
        <v>1674.8372895008843</v>
      </c>
      <c r="I57" s="125">
        <f t="shared" si="36"/>
        <v>2233.9155503704487</v>
      </c>
      <c r="J57" s="125">
        <f t="shared" si="37"/>
        <v>2792.993811240014</v>
      </c>
    </row>
    <row r="58" spans="1:10" s="63" customFormat="1" ht="12.75">
      <c r="A58" s="124">
        <v>1.3</v>
      </c>
      <c r="B58" s="125">
        <f t="shared" si="29"/>
        <v>-1543.6322757165071</v>
      </c>
      <c r="C58" s="125">
        <f t="shared" si="30"/>
        <v>-950.5540148469427</v>
      </c>
      <c r="D58" s="125">
        <f t="shared" si="31"/>
        <v>-357.47575397737637</v>
      </c>
      <c r="E58" s="125">
        <f t="shared" si="32"/>
        <v>235.6025068921881</v>
      </c>
      <c r="F58" s="125">
        <f t="shared" si="33"/>
        <v>828.6807677617526</v>
      </c>
      <c r="G58" s="125">
        <f t="shared" si="34"/>
        <v>1421.759028631318</v>
      </c>
      <c r="H58" s="125">
        <f t="shared" si="35"/>
        <v>2014.8372895008843</v>
      </c>
      <c r="I58" s="125">
        <f t="shared" si="36"/>
        <v>2607.9155503704487</v>
      </c>
      <c r="J58" s="125">
        <f t="shared" si="37"/>
        <v>3200.993811240014</v>
      </c>
    </row>
    <row r="59" spans="1:10" s="63" customFormat="1" ht="12.75">
      <c r="A59" s="124">
        <v>1.35</v>
      </c>
      <c r="B59" s="125">
        <f t="shared" si="29"/>
        <v>-1407.6322757165067</v>
      </c>
      <c r="C59" s="125">
        <f t="shared" si="30"/>
        <v>-780.5540148469427</v>
      </c>
      <c r="D59" s="125">
        <f t="shared" si="31"/>
        <v>-153.47575397737637</v>
      </c>
      <c r="E59" s="125">
        <f t="shared" si="32"/>
        <v>473.6025068921881</v>
      </c>
      <c r="F59" s="125">
        <f t="shared" si="33"/>
        <v>1100.6807677617535</v>
      </c>
      <c r="G59" s="125">
        <f t="shared" si="34"/>
        <v>1727.759028631318</v>
      </c>
      <c r="H59" s="125">
        <f t="shared" si="35"/>
        <v>2354.8372895008843</v>
      </c>
      <c r="I59" s="125">
        <f t="shared" si="36"/>
        <v>2981.9155503704487</v>
      </c>
      <c r="J59" s="125">
        <f t="shared" si="37"/>
        <v>3608.993811240014</v>
      </c>
    </row>
    <row r="60" spans="1:10" s="63" customFormat="1" ht="12.75">
      <c r="A60" s="142">
        <v>1.4</v>
      </c>
      <c r="B60" s="137">
        <f t="shared" si="29"/>
        <v>-1271.6322757165076</v>
      </c>
      <c r="C60" s="137">
        <f t="shared" si="30"/>
        <v>-610.5540148469427</v>
      </c>
      <c r="D60" s="137">
        <f t="shared" si="31"/>
        <v>50.52424602262363</v>
      </c>
      <c r="E60" s="137">
        <f t="shared" si="32"/>
        <v>711.6025068921881</v>
      </c>
      <c r="F60" s="137">
        <f t="shared" si="33"/>
        <v>1372.6807677617517</v>
      </c>
      <c r="G60" s="137">
        <f t="shared" si="34"/>
        <v>2033.759028631318</v>
      </c>
      <c r="H60" s="137">
        <f t="shared" si="35"/>
        <v>2694.8372895008843</v>
      </c>
      <c r="I60" s="137">
        <f t="shared" si="36"/>
        <v>3355.9155503704487</v>
      </c>
      <c r="J60" s="137">
        <f t="shared" si="37"/>
        <v>4016.993811240014</v>
      </c>
    </row>
    <row r="61" s="63" customFormat="1" ht="12.75"/>
    <row r="62" s="63" customFormat="1" ht="12.75"/>
    <row r="63" s="63" customFormat="1" ht="12.75"/>
    <row r="64" s="63" customFormat="1" ht="12.75"/>
    <row r="65" s="63" customFormat="1" ht="12.75"/>
    <row r="66" s="63" customFormat="1" ht="12.75"/>
    <row r="67" s="63" customFormat="1" ht="12.75"/>
    <row r="68" s="63" customFormat="1" ht="12.75"/>
    <row r="69" s="63" customFormat="1" ht="12.75"/>
    <row r="70" s="63" customFormat="1" ht="12.75"/>
    <row r="71" s="63" customFormat="1" ht="12.75"/>
    <row r="72" s="63" customFormat="1" ht="12.75"/>
    <row r="73" s="63" customFormat="1" ht="12.75"/>
    <row r="74" s="63" customFormat="1" ht="12.75"/>
  </sheetData>
  <mergeCells count="4">
    <mergeCell ref="A40:J40"/>
    <mergeCell ref="A1:J1"/>
    <mergeCell ref="B5:J5"/>
    <mergeCell ref="A29:J29"/>
  </mergeCells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 Takele</dc:creator>
  <cp:keywords/>
  <dc:description/>
  <cp:lastModifiedBy>Eta Takele</cp:lastModifiedBy>
  <cp:lastPrinted>2002-02-26T19:54:09Z</cp:lastPrinted>
  <dcterms:created xsi:type="dcterms:W3CDTF">2002-02-21T16:57:35Z</dcterms:created>
  <dcterms:modified xsi:type="dcterms:W3CDTF">2006-06-06T22:10:24Z</dcterms:modified>
  <cp:category/>
  <cp:version/>
  <cp:contentType/>
  <cp:contentStatus/>
</cp:coreProperties>
</file>