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6150" windowHeight="6930" activeTab="0"/>
  </bookViews>
  <sheets>
    <sheet name="Blue estab &amp; prod.costs" sheetId="1" r:id="rId1"/>
    <sheet name="Blue sumary of costs" sheetId="2" r:id="rId2"/>
    <sheet name="Blue Range Analysis" sheetId="3" r:id="rId3"/>
  </sheets>
  <definedNames/>
  <calcPr fullCalcOnLoad="1"/>
</workbook>
</file>

<file path=xl/sharedStrings.xml><?xml version="1.0" encoding="utf-8"?>
<sst xmlns="http://schemas.openxmlformats.org/spreadsheetml/2006/main" count="290" uniqueCount="145">
  <si>
    <t>Projected Establishment and Production Costs and Returns for Blueberries</t>
  </si>
  <si>
    <t xml:space="preserve">Coastal Regions of California 2002 </t>
  </si>
  <si>
    <t>Plant Spacing of 3'x10' or 1,452 plants/acre; Labor Wages at $12/hr</t>
  </si>
  <si>
    <t>6 establishment and 30 full production years</t>
  </si>
  <si>
    <t>Year 1</t>
  </si>
  <si>
    <t>Year 2</t>
  </si>
  <si>
    <t>Year 3</t>
  </si>
  <si>
    <t>Year 4</t>
  </si>
  <si>
    <t>Year 5</t>
  </si>
  <si>
    <t>Year 6</t>
  </si>
  <si>
    <t>Production Year</t>
  </si>
  <si>
    <t>Operation</t>
  </si>
  <si>
    <t>$/</t>
  </si>
  <si>
    <t>Quant.</t>
  </si>
  <si>
    <t>Unit</t>
  </si>
  <si>
    <t>/Acre</t>
  </si>
  <si>
    <t>$/Acre</t>
  </si>
  <si>
    <t xml:space="preserve">Fresh blueberries (lb/tree) </t>
  </si>
  <si>
    <t>GROSS RETURNS</t>
  </si>
  <si>
    <t xml:space="preserve">Yield (lb/ac) &amp; Returns ($/ac) </t>
  </si>
  <si>
    <t>lb</t>
  </si>
  <si>
    <t>Prices: Blueberries, (FL $1.079/lb; NC $1.11/lb)</t>
  </si>
  <si>
    <t>(CA $0.80/lb~$2.50/lb at wholesale)</t>
  </si>
  <si>
    <t xml:space="preserve">Processed blueberries </t>
  </si>
  <si>
    <t>Total Gross Returns</t>
  </si>
  <si>
    <t>VARIABLE COSTS</t>
  </si>
  <si>
    <t>Field Preparation</t>
  </si>
  <si>
    <t>Rip field (custom) - based on strawberries</t>
  </si>
  <si>
    <t>ac</t>
  </si>
  <si>
    <t>Orchard layout (bed form)</t>
  </si>
  <si>
    <t>Machine labor</t>
  </si>
  <si>
    <t>hr</t>
  </si>
  <si>
    <t>Machine (fuel, lube, &amp; repair)</t>
  </si>
  <si>
    <t xml:space="preserve">Irrigation system set up (drip) </t>
  </si>
  <si>
    <t>Manual labor</t>
  </si>
  <si>
    <t>Soil Preparation</t>
  </si>
  <si>
    <t xml:space="preserve">Sulphur </t>
  </si>
  <si>
    <t>Sawdust (mulch) application</t>
  </si>
  <si>
    <t>Material</t>
  </si>
  <si>
    <t>tons</t>
  </si>
  <si>
    <t xml:space="preserve">Rototill </t>
  </si>
  <si>
    <t xml:space="preserve">Machine labor </t>
  </si>
  <si>
    <t>Soil test</t>
  </si>
  <si>
    <t>Planting</t>
  </si>
  <si>
    <t xml:space="preserve">Spacing </t>
  </si>
  <si>
    <t>3'x10'</t>
  </si>
  <si>
    <t xml:space="preserve">Plants </t>
  </si>
  <si>
    <t>plant</t>
  </si>
  <si>
    <t>Manual labor (1 min/plant)</t>
  </si>
  <si>
    <t>Blueberries establishment and production costs and returns cont. (page 2)</t>
  </si>
  <si>
    <t>Operation (cont.)</t>
  </si>
  <si>
    <t>Cover Crop</t>
  </si>
  <si>
    <t>Grass seed</t>
  </si>
  <si>
    <t>Prune, Top, &amp; Hedge (1 min/plant)</t>
  </si>
  <si>
    <t>Disease Management</t>
  </si>
  <si>
    <t>Copper (at least 1x) or Roveral</t>
  </si>
  <si>
    <t>app</t>
  </si>
  <si>
    <t>Mow Strips (3x)</t>
  </si>
  <si>
    <t>Fertilizer</t>
  </si>
  <si>
    <t>Urea sulphuric acid (3x)</t>
  </si>
  <si>
    <t>gal</t>
  </si>
  <si>
    <t>Bee Hives Rental (based on avocado study)</t>
  </si>
  <si>
    <t>hive</t>
  </si>
  <si>
    <t>Weed Control</t>
  </si>
  <si>
    <t>Hand weeding (1hr/wk/ac)</t>
  </si>
  <si>
    <t>Irrigation Water</t>
  </si>
  <si>
    <t>Water</t>
  </si>
  <si>
    <t>acin</t>
  </si>
  <si>
    <t>Manual labor @1 time/wk (for 40 wks)</t>
  </si>
  <si>
    <t>Bird Control</t>
  </si>
  <si>
    <t>Net</t>
  </si>
  <si>
    <t>feet</t>
  </si>
  <si>
    <t>Post</t>
  </si>
  <si>
    <t>post</t>
  </si>
  <si>
    <t>Wire</t>
  </si>
  <si>
    <t>Labor post</t>
  </si>
  <si>
    <t>Labor spread &amp; remove net for harvest</t>
  </si>
  <si>
    <t>Lab Tissue Analysis</t>
  </si>
  <si>
    <t>Total Cultural Costs</t>
  </si>
  <si>
    <t>Blueberries establishment and production costs and returns cont. (page 3)</t>
  </si>
  <si>
    <t>Harvest</t>
  </si>
  <si>
    <t>Fresh:  Pick &amp; Pack (hand)--Oregon rate</t>
  </si>
  <si>
    <t>(Florida $0.52/lb)</t>
  </si>
  <si>
    <t>Buckets/clamshell cups</t>
  </si>
  <si>
    <t>(1/2 pt  6-8oz @ $65/650 unit;</t>
  </si>
  <si>
    <t>or 1 pt or 10-14 oz @ $48/600 unit)</t>
  </si>
  <si>
    <t>Load &amp; haul</t>
  </si>
  <si>
    <t>Sell fresh (?)</t>
  </si>
  <si>
    <t>Total Harvest Costs</t>
  </si>
  <si>
    <t>CASH OVERHEAD COSTS</t>
  </si>
  <si>
    <t>Interest on investment @ 8.5%</t>
  </si>
  <si>
    <t>Property taxes &amp; insurance</t>
  </si>
  <si>
    <t>Investment repairs</t>
  </si>
  <si>
    <t>Office expense</t>
  </si>
  <si>
    <t xml:space="preserve">Interest on operating capital </t>
  </si>
  <si>
    <t>Total Cash Overhead Costs</t>
  </si>
  <si>
    <t xml:space="preserve">NON-CASH COSTS </t>
  </si>
  <si>
    <t xml:space="preserve">  Land rent</t>
  </si>
  <si>
    <t xml:space="preserve">  Depr. &amp; int. on mach., equip., build.</t>
  </si>
  <si>
    <t xml:space="preserve">  Depr. &amp; int. irrig. system</t>
  </si>
  <si>
    <t xml:space="preserve">  Miscellaneous (tools etc.)</t>
  </si>
  <si>
    <t xml:space="preserve">  Amortized establishment (30 years)</t>
  </si>
  <si>
    <t>Total Non-Cash Overhead Costs</t>
  </si>
  <si>
    <t xml:space="preserve">TOTAL ALL COSTS </t>
  </si>
  <si>
    <t>Returns to Management</t>
  </si>
  <si>
    <t>Accumulated Establishment Cost</t>
  </si>
  <si>
    <t>Summary of the establishment and production costs and returns for Blueberries</t>
  </si>
  <si>
    <t>Year</t>
  </si>
  <si>
    <t>Prod.</t>
  </si>
  <si>
    <t>Yield/tree</t>
  </si>
  <si>
    <t>Yield/acre</t>
  </si>
  <si>
    <t>Price/lb</t>
  </si>
  <si>
    <t>Gross returns/acre</t>
  </si>
  <si>
    <t>Cultural</t>
  </si>
  <si>
    <t>Cash overhead</t>
  </si>
  <si>
    <t>Non-cash overhead</t>
  </si>
  <si>
    <t xml:space="preserve">Total costs </t>
  </si>
  <si>
    <t>Returns to management</t>
  </si>
  <si>
    <t>Accumulated establishment cost</t>
  </si>
  <si>
    <t>Cultural: material, labor, machinery (fuel, lube and repair) for planting, fertilization, pest, &amp; disease control</t>
  </si>
  <si>
    <t>Harvest:  picking, packing, &amp; containers</t>
  </si>
  <si>
    <t>Cash overhead: interest on investment, property taxes, insurance, &amp; office expenses</t>
  </si>
  <si>
    <t>Non-cash overhead: land rent, investment, &amp; machinery fixed costs</t>
  </si>
  <si>
    <t>Blueberry Profitability Analysis</t>
  </si>
  <si>
    <t>Yield: lbs/tree</t>
  </si>
  <si>
    <t>Yield: lbs/acre</t>
  </si>
  <si>
    <t>Part A. Cost per acre and per pound at varying yield</t>
  </si>
  <si>
    <t>Operating costs/acre:</t>
  </si>
  <si>
    <t xml:space="preserve">Cultural Costs </t>
  </si>
  <si>
    <t>Harvest labor &amp; material</t>
  </si>
  <si>
    <t>Harvest machine &amp; mach.lab.</t>
  </si>
  <si>
    <t>TOTAL OPERATING COSTS/ACRE</t>
  </si>
  <si>
    <t>TOTAL OPERATING COSTS/POUND</t>
  </si>
  <si>
    <t>CASH OVERHEAD COSTS/ACRE</t>
  </si>
  <si>
    <t>TOTAL CASH COSTS/ACRE</t>
  </si>
  <si>
    <t>TOTAL CASH COSTS/POUND (GROSS</t>
  </si>
  <si>
    <t>MARGIN BREAKEVEN)</t>
  </si>
  <si>
    <t>NON-CASH OVERHEAD COSTS/ACRE</t>
  </si>
  <si>
    <t>TOTAL COSTS/ACRE</t>
  </si>
  <si>
    <t>TOTAL COSTS/POUND (RETURNS TO</t>
  </si>
  <si>
    <t>MANAGEMENT BREAKEVEN)</t>
  </si>
  <si>
    <t>Part B. Returns per acre above operating costs</t>
  </si>
  <si>
    <t>Price ($/pound):</t>
  </si>
  <si>
    <t>Part C. Returns per acre above all cash costs (gross margin analysis)</t>
  </si>
  <si>
    <t>Part D.  Returns above all costs (returns to management analysis)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</si>
</sst>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#,##0.000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left" indent="1"/>
    </xf>
    <xf numFmtId="1" fontId="2" fillId="2" borderId="2" xfId="0" applyNumberFormat="1" applyFont="1" applyFill="1" applyBorder="1" applyAlignment="1">
      <alignment/>
    </xf>
    <xf numFmtId="1" fontId="2" fillId="2" borderId="7" xfId="0" applyNumberFormat="1" applyFont="1" applyFill="1" applyBorder="1" applyAlignment="1">
      <alignment/>
    </xf>
    <xf numFmtId="1" fontId="2" fillId="2" borderId="9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2" fillId="2" borderId="0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left" indent="1"/>
    </xf>
    <xf numFmtId="0" fontId="1" fillId="2" borderId="2" xfId="0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3" xfId="0" applyFont="1" applyFill="1" applyBorder="1" applyAlignment="1">
      <alignment horizontal="left" indent="1"/>
    </xf>
    <xf numFmtId="0" fontId="2" fillId="2" borderId="3" xfId="0" applyFont="1" applyFill="1" applyBorder="1" applyAlignment="1">
      <alignment/>
    </xf>
    <xf numFmtId="2" fontId="1" fillId="2" borderId="7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9" xfId="0" applyFont="1" applyFill="1" applyBorder="1" applyAlignment="1">
      <alignment horizontal="left" indent="1"/>
    </xf>
    <xf numFmtId="0" fontId="2" fillId="2" borderId="9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2" borderId="5" xfId="0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2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1" fontId="2" fillId="0" borderId="7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right"/>
    </xf>
    <xf numFmtId="0" fontId="0" fillId="0" borderId="9" xfId="0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8" xfId="0" applyNumberFormat="1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left" indent="1"/>
    </xf>
    <xf numFmtId="3" fontId="7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indent="3"/>
    </xf>
    <xf numFmtId="3" fontId="7" fillId="0" borderId="0" xfId="0" applyNumberFormat="1" applyFont="1" applyBorder="1" applyAlignment="1">
      <alignment horizontal="left" indent="3"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left" indent="4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workbookViewId="0" topLeftCell="A1">
      <selection activeCell="C81" sqref="C81"/>
    </sheetView>
  </sheetViews>
  <sheetFormatPr defaultColWidth="9.140625" defaultRowHeight="12.75"/>
  <cols>
    <col min="1" max="1" width="23.421875" style="0" customWidth="1"/>
  </cols>
  <sheetData>
    <row r="1" spans="1:17" ht="12.7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</row>
    <row r="2" spans="1:17" ht="12.75">
      <c r="A2" s="152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52" t="s">
        <v>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1:17" ht="12.75">
      <c r="A5" s="1"/>
      <c r="B5" s="2"/>
      <c r="C5" s="2"/>
      <c r="D5" s="136" t="s">
        <v>4</v>
      </c>
      <c r="E5" s="142"/>
      <c r="F5" s="136" t="s">
        <v>5</v>
      </c>
      <c r="G5" s="142"/>
      <c r="H5" s="143" t="s">
        <v>6</v>
      </c>
      <c r="I5" s="142"/>
      <c r="J5" s="143" t="s">
        <v>7</v>
      </c>
      <c r="K5" s="142"/>
      <c r="L5" s="143" t="s">
        <v>8</v>
      </c>
      <c r="M5" s="142"/>
      <c r="N5" s="143" t="s">
        <v>9</v>
      </c>
      <c r="O5" s="142"/>
      <c r="P5" s="136" t="s">
        <v>10</v>
      </c>
      <c r="Q5" s="142"/>
    </row>
    <row r="6" spans="1:17" ht="12.75">
      <c r="A6" s="3" t="s">
        <v>11</v>
      </c>
      <c r="B6" s="4"/>
      <c r="C6" s="4" t="s">
        <v>12</v>
      </c>
      <c r="D6" s="2" t="s">
        <v>13</v>
      </c>
      <c r="E6" s="5"/>
      <c r="F6" s="2" t="s">
        <v>13</v>
      </c>
      <c r="G6" s="2"/>
      <c r="H6" s="2" t="s">
        <v>13</v>
      </c>
      <c r="I6" s="2"/>
      <c r="J6" s="2" t="s">
        <v>13</v>
      </c>
      <c r="K6" s="2"/>
      <c r="L6" s="2" t="s">
        <v>13</v>
      </c>
      <c r="M6" s="2"/>
      <c r="N6" s="2" t="s">
        <v>13</v>
      </c>
      <c r="O6" s="2"/>
      <c r="P6" s="2" t="s">
        <v>13</v>
      </c>
      <c r="Q6" s="2"/>
    </row>
    <row r="7" spans="1:17" ht="12.75">
      <c r="A7" s="6"/>
      <c r="B7" s="7" t="s">
        <v>14</v>
      </c>
      <c r="C7" s="7" t="s">
        <v>14</v>
      </c>
      <c r="D7" s="7" t="s">
        <v>15</v>
      </c>
      <c r="E7" s="7" t="s">
        <v>16</v>
      </c>
      <c r="F7" s="7" t="s">
        <v>15</v>
      </c>
      <c r="G7" s="7" t="s">
        <v>16</v>
      </c>
      <c r="H7" s="7" t="s">
        <v>15</v>
      </c>
      <c r="I7" s="7" t="s">
        <v>16</v>
      </c>
      <c r="J7" s="7" t="s">
        <v>15</v>
      </c>
      <c r="K7" s="7" t="s">
        <v>16</v>
      </c>
      <c r="L7" s="7" t="s">
        <v>15</v>
      </c>
      <c r="M7" s="7" t="s">
        <v>16</v>
      </c>
      <c r="N7" s="7" t="s">
        <v>15</v>
      </c>
      <c r="O7" s="7" t="s">
        <v>16</v>
      </c>
      <c r="P7" s="7" t="s">
        <v>15</v>
      </c>
      <c r="Q7" s="7" t="s">
        <v>16</v>
      </c>
    </row>
    <row r="8" spans="1:17" ht="12.75">
      <c r="A8" s="8" t="s">
        <v>17</v>
      </c>
      <c r="B8" s="2"/>
      <c r="C8" s="2"/>
      <c r="D8" s="9"/>
      <c r="E8" s="9"/>
      <c r="F8" s="10"/>
      <c r="G8" s="2"/>
      <c r="H8" s="11">
        <v>5</v>
      </c>
      <c r="I8" s="2"/>
      <c r="J8" s="2">
        <v>7</v>
      </c>
      <c r="K8" s="2"/>
      <c r="L8" s="2">
        <v>8</v>
      </c>
      <c r="M8" s="2"/>
      <c r="N8" s="2">
        <v>9</v>
      </c>
      <c r="O8" s="12"/>
      <c r="P8" s="13">
        <v>10</v>
      </c>
      <c r="Q8" s="13"/>
    </row>
    <row r="9" spans="1:17" ht="12.75">
      <c r="A9" s="144" t="s">
        <v>18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6"/>
      <c r="Q9" s="147"/>
    </row>
    <row r="10" spans="1:17" ht="12.7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48"/>
    </row>
    <row r="11" spans="1:17" ht="12.75">
      <c r="A11" s="16" t="s">
        <v>19</v>
      </c>
      <c r="B11" s="17" t="s">
        <v>20</v>
      </c>
      <c r="C11" s="18">
        <v>1.05</v>
      </c>
      <c r="D11" s="19"/>
      <c r="E11" s="17"/>
      <c r="F11" s="18"/>
      <c r="G11" s="19"/>
      <c r="H11" s="20">
        <f>H8*$D$38</f>
        <v>7260</v>
      </c>
      <c r="I11" s="21">
        <f>$C$11*H11</f>
        <v>7623</v>
      </c>
      <c r="J11" s="21">
        <f>J8*$D$38</f>
        <v>10164</v>
      </c>
      <c r="K11" s="21">
        <f>$C$11*J11</f>
        <v>10672.2</v>
      </c>
      <c r="L11" s="21">
        <f>L8*$D$38</f>
        <v>11616</v>
      </c>
      <c r="M11" s="21">
        <f>$C$11*L11</f>
        <v>12196.800000000001</v>
      </c>
      <c r="N11" s="21">
        <f>N8*$D$38</f>
        <v>13068</v>
      </c>
      <c r="O11" s="22">
        <f>$C$11*N11</f>
        <v>13721.400000000001</v>
      </c>
      <c r="P11" s="21">
        <f>10*D38</f>
        <v>14520</v>
      </c>
      <c r="Q11" s="21">
        <f>$C$11*P11</f>
        <v>15246</v>
      </c>
    </row>
    <row r="12" spans="1:17" ht="12.75">
      <c r="A12" s="23" t="s">
        <v>21</v>
      </c>
      <c r="B12" s="17"/>
      <c r="C12" s="18"/>
      <c r="D12" s="17"/>
      <c r="E12" s="17"/>
      <c r="F12" s="18"/>
      <c r="G12" s="19"/>
      <c r="H12" s="20"/>
      <c r="I12" s="24"/>
      <c r="J12" s="21"/>
      <c r="K12" s="25"/>
      <c r="L12" s="21"/>
      <c r="M12" s="24"/>
      <c r="N12" s="21"/>
      <c r="O12" s="26"/>
      <c r="P12" s="17"/>
      <c r="Q12" s="24"/>
    </row>
    <row r="13" spans="1:17" ht="12.75">
      <c r="A13" s="23" t="s">
        <v>22</v>
      </c>
      <c r="B13" s="17"/>
      <c r="C13" s="18"/>
      <c r="D13" s="17"/>
      <c r="E13" s="17"/>
      <c r="F13" s="18"/>
      <c r="G13" s="19"/>
      <c r="H13" s="20"/>
      <c r="I13" s="24"/>
      <c r="J13" s="21"/>
      <c r="K13" s="25"/>
      <c r="L13" s="21"/>
      <c r="M13" s="24"/>
      <c r="N13" s="21"/>
      <c r="O13" s="26"/>
      <c r="P13" s="17"/>
      <c r="Q13" s="24"/>
    </row>
    <row r="14" spans="1:17" ht="12.75">
      <c r="A14" s="27" t="s">
        <v>23</v>
      </c>
      <c r="B14" s="28" t="s">
        <v>20</v>
      </c>
      <c r="C14" s="24">
        <v>0</v>
      </c>
      <c r="D14" s="29"/>
      <c r="E14" s="30"/>
      <c r="F14" s="29"/>
      <c r="G14" s="30"/>
      <c r="H14" s="31">
        <v>0</v>
      </c>
      <c r="I14" s="24">
        <f>$C$14*H14</f>
        <v>0</v>
      </c>
      <c r="J14" s="31">
        <v>0</v>
      </c>
      <c r="K14" s="24">
        <f>$C$14*J14</f>
        <v>0</v>
      </c>
      <c r="L14" s="31">
        <v>0</v>
      </c>
      <c r="M14" s="24">
        <f>$C$14*L14</f>
        <v>0</v>
      </c>
      <c r="N14" s="31">
        <v>0</v>
      </c>
      <c r="O14" s="24">
        <f>$C$14*N14</f>
        <v>0</v>
      </c>
      <c r="P14" s="28"/>
      <c r="Q14" s="17"/>
    </row>
    <row r="15" spans="1:17" ht="12.75">
      <c r="A15" s="32" t="s">
        <v>24</v>
      </c>
      <c r="B15" s="3"/>
      <c r="C15" s="33"/>
      <c r="D15" s="34"/>
      <c r="E15" s="34"/>
      <c r="F15" s="34"/>
      <c r="G15" s="34"/>
      <c r="H15" s="34">
        <f>SUM(H11:H14)</f>
        <v>7260</v>
      </c>
      <c r="I15" s="34">
        <f aca="true" t="shared" si="0" ref="I15:Q15">SUM(I11:I14)</f>
        <v>7623</v>
      </c>
      <c r="J15" s="34">
        <f t="shared" si="0"/>
        <v>10164</v>
      </c>
      <c r="K15" s="34">
        <f t="shared" si="0"/>
        <v>10672.2</v>
      </c>
      <c r="L15" s="34">
        <f t="shared" si="0"/>
        <v>11616</v>
      </c>
      <c r="M15" s="34">
        <f t="shared" si="0"/>
        <v>12196.800000000001</v>
      </c>
      <c r="N15" s="34">
        <f t="shared" si="0"/>
        <v>13068</v>
      </c>
      <c r="O15" s="34">
        <f t="shared" si="0"/>
        <v>13721.400000000001</v>
      </c>
      <c r="P15" s="35">
        <f t="shared" si="0"/>
        <v>14520</v>
      </c>
      <c r="Q15" s="35">
        <f t="shared" si="0"/>
        <v>15246</v>
      </c>
    </row>
    <row r="16" spans="1:17" ht="12.75">
      <c r="A16" s="144" t="s">
        <v>25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6"/>
      <c r="Q16" s="147"/>
    </row>
    <row r="17" spans="1:17" ht="12.75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48"/>
    </row>
    <row r="18" spans="1:17" ht="12.75">
      <c r="A18" s="36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17" t="s">
        <v>27</v>
      </c>
      <c r="B19" s="17" t="s">
        <v>28</v>
      </c>
      <c r="C19" s="17">
        <v>375</v>
      </c>
      <c r="D19" s="17">
        <v>1</v>
      </c>
      <c r="E19" s="17">
        <f>C19*D19</f>
        <v>375</v>
      </c>
      <c r="F19" s="17"/>
      <c r="G19" s="18"/>
      <c r="H19" s="17"/>
      <c r="I19" s="18"/>
      <c r="J19" s="17"/>
      <c r="K19" s="37"/>
      <c r="L19" s="17"/>
      <c r="M19" s="17"/>
      <c r="N19" s="17"/>
      <c r="O19" s="17"/>
      <c r="P19" s="17"/>
      <c r="Q19" s="17"/>
    </row>
    <row r="20" spans="1:17" ht="12.75">
      <c r="A20" s="17" t="s">
        <v>29</v>
      </c>
      <c r="B20" s="17"/>
      <c r="C20" s="17"/>
      <c r="D20" s="17"/>
      <c r="E20" s="17"/>
      <c r="F20" s="17"/>
      <c r="G20" s="18"/>
      <c r="H20" s="17"/>
      <c r="I20" s="18"/>
      <c r="J20" s="17"/>
      <c r="K20" s="37"/>
      <c r="L20" s="17"/>
      <c r="M20" s="17"/>
      <c r="N20" s="17"/>
      <c r="O20" s="17"/>
      <c r="P20" s="17"/>
      <c r="Q20" s="17"/>
    </row>
    <row r="21" spans="1:17" ht="12.75">
      <c r="A21" s="38" t="s">
        <v>30</v>
      </c>
      <c r="B21" s="17" t="s">
        <v>31</v>
      </c>
      <c r="C21" s="17">
        <v>12</v>
      </c>
      <c r="D21" s="17">
        <f>1.1*D22</f>
        <v>0.55</v>
      </c>
      <c r="E21" s="17">
        <f>C21*D21</f>
        <v>6.6000000000000005</v>
      </c>
      <c r="F21" s="17"/>
      <c r="G21" s="18"/>
      <c r="H21" s="17"/>
      <c r="I21" s="18"/>
      <c r="J21" s="17"/>
      <c r="K21" s="37"/>
      <c r="L21" s="17"/>
      <c r="M21" s="17"/>
      <c r="N21" s="17"/>
      <c r="O21" s="17"/>
      <c r="P21" s="17"/>
      <c r="Q21" s="17"/>
    </row>
    <row r="22" spans="1:17" ht="12.75">
      <c r="A22" s="38" t="s">
        <v>32</v>
      </c>
      <c r="B22" s="17" t="s">
        <v>31</v>
      </c>
      <c r="C22" s="17">
        <v>14</v>
      </c>
      <c r="D22" s="17">
        <v>0.5</v>
      </c>
      <c r="E22" s="17">
        <f>C22*D22</f>
        <v>7</v>
      </c>
      <c r="F22" s="17"/>
      <c r="G22" s="18"/>
      <c r="H22" s="17"/>
      <c r="I22" s="18"/>
      <c r="J22" s="17"/>
      <c r="K22" s="37"/>
      <c r="L22" s="17"/>
      <c r="M22" s="17"/>
      <c r="N22" s="17"/>
      <c r="O22" s="17"/>
      <c r="P22" s="17"/>
      <c r="Q22" s="17"/>
    </row>
    <row r="23" spans="1:17" ht="12.75">
      <c r="A23" s="39" t="s">
        <v>33</v>
      </c>
      <c r="B23" s="17"/>
      <c r="C23" s="17"/>
      <c r="D23" s="17"/>
      <c r="E23" s="17"/>
      <c r="F23" s="17"/>
      <c r="G23" s="18"/>
      <c r="H23" s="17"/>
      <c r="I23" s="18"/>
      <c r="J23" s="17"/>
      <c r="K23" s="37"/>
      <c r="L23" s="17"/>
      <c r="M23" s="17"/>
      <c r="N23" s="17"/>
      <c r="O23" s="17"/>
      <c r="P23" s="17"/>
      <c r="Q23" s="17"/>
    </row>
    <row r="24" spans="1:17" ht="12.75">
      <c r="A24" s="38" t="s">
        <v>34</v>
      </c>
      <c r="B24" s="17" t="s">
        <v>31</v>
      </c>
      <c r="C24" s="17">
        <v>12</v>
      </c>
      <c r="D24" s="17">
        <v>9</v>
      </c>
      <c r="E24" s="17">
        <f>+C24*D24</f>
        <v>108</v>
      </c>
      <c r="F24" s="17"/>
      <c r="G24" s="18"/>
      <c r="H24" s="17"/>
      <c r="I24" s="18"/>
      <c r="J24" s="17"/>
      <c r="K24" s="37"/>
      <c r="L24" s="17"/>
      <c r="M24" s="17"/>
      <c r="N24" s="17"/>
      <c r="O24" s="17"/>
      <c r="P24" s="17"/>
      <c r="Q24" s="17"/>
    </row>
    <row r="25" spans="1:17" ht="12.75">
      <c r="A25" s="38" t="s">
        <v>30</v>
      </c>
      <c r="B25" s="17" t="s">
        <v>31</v>
      </c>
      <c r="C25" s="17">
        <v>12</v>
      </c>
      <c r="D25" s="17">
        <f>1.1*D26</f>
        <v>0.55</v>
      </c>
      <c r="E25" s="17">
        <f>+C25*D25</f>
        <v>6.6000000000000005</v>
      </c>
      <c r="F25" s="17"/>
      <c r="G25" s="18"/>
      <c r="H25" s="17"/>
      <c r="I25" s="18"/>
      <c r="J25" s="17"/>
      <c r="K25" s="37"/>
      <c r="L25" s="17"/>
      <c r="M25" s="17"/>
      <c r="N25" s="17"/>
      <c r="O25" s="17"/>
      <c r="P25" s="17"/>
      <c r="Q25" s="17"/>
    </row>
    <row r="26" spans="1:17" ht="12.75">
      <c r="A26" s="38" t="s">
        <v>32</v>
      </c>
      <c r="B26" s="17" t="s">
        <v>31</v>
      </c>
      <c r="C26" s="17">
        <f>+C22</f>
        <v>14</v>
      </c>
      <c r="D26" s="17">
        <v>0.5</v>
      </c>
      <c r="E26" s="17">
        <f>+C26*D26</f>
        <v>7</v>
      </c>
      <c r="F26" s="17"/>
      <c r="G26" s="18"/>
      <c r="H26" s="17"/>
      <c r="I26" s="18"/>
      <c r="J26" s="17"/>
      <c r="K26" s="37"/>
      <c r="L26" s="17"/>
      <c r="M26" s="17"/>
      <c r="N26" s="17"/>
      <c r="O26" s="17"/>
      <c r="P26" s="17"/>
      <c r="Q26" s="17"/>
    </row>
    <row r="27" spans="1:17" ht="12.75">
      <c r="A27" s="40" t="s">
        <v>35</v>
      </c>
      <c r="B27" s="17"/>
      <c r="C27" s="17"/>
      <c r="D27" s="21"/>
      <c r="E27" s="18"/>
      <c r="F27" s="17"/>
      <c r="G27" s="18"/>
      <c r="H27" s="17"/>
      <c r="I27" s="18"/>
      <c r="J27" s="17"/>
      <c r="K27" s="37"/>
      <c r="L27" s="17"/>
      <c r="M27" s="17"/>
      <c r="N27" s="17"/>
      <c r="O27" s="17"/>
      <c r="P27" s="17"/>
      <c r="Q27" s="17"/>
    </row>
    <row r="28" spans="1:17" ht="12.75">
      <c r="A28" s="27" t="s">
        <v>36</v>
      </c>
      <c r="B28" s="17" t="s">
        <v>20</v>
      </c>
      <c r="C28" s="17">
        <v>0.1</v>
      </c>
      <c r="D28" s="21">
        <v>1000</v>
      </c>
      <c r="E28" s="21">
        <f>+D28*C28</f>
        <v>100</v>
      </c>
      <c r="F28" s="21">
        <v>200</v>
      </c>
      <c r="G28" s="21">
        <f>$C$28*F28</f>
        <v>20</v>
      </c>
      <c r="H28" s="21">
        <v>200</v>
      </c>
      <c r="I28" s="21">
        <f>$C$28*H28</f>
        <v>20</v>
      </c>
      <c r="J28" s="21">
        <v>200</v>
      </c>
      <c r="K28" s="21">
        <f>$C$28*J28</f>
        <v>20</v>
      </c>
      <c r="L28" s="21">
        <v>200</v>
      </c>
      <c r="M28" s="21">
        <f>$C$28*L28</f>
        <v>20</v>
      </c>
      <c r="N28" s="21">
        <v>200</v>
      </c>
      <c r="O28" s="21">
        <f>$C$28*N28</f>
        <v>20</v>
      </c>
      <c r="P28" s="21">
        <v>200</v>
      </c>
      <c r="Q28" s="21">
        <f>$C$28*P28</f>
        <v>20</v>
      </c>
    </row>
    <row r="29" spans="1:17" ht="12.75">
      <c r="A29" s="17" t="s">
        <v>37</v>
      </c>
      <c r="B29" s="3"/>
      <c r="C29" s="3"/>
      <c r="D29" s="17"/>
      <c r="E29" s="18"/>
      <c r="F29" s="17"/>
      <c r="G29" s="18"/>
      <c r="H29" s="17"/>
      <c r="I29" s="18"/>
      <c r="J29" s="17"/>
      <c r="K29" s="37"/>
      <c r="L29" s="17"/>
      <c r="M29" s="17"/>
      <c r="N29" s="17"/>
      <c r="O29" s="17"/>
      <c r="P29" s="17"/>
      <c r="Q29" s="17"/>
    </row>
    <row r="30" spans="1:17" ht="12.75">
      <c r="A30" s="38" t="s">
        <v>38</v>
      </c>
      <c r="B30" s="17" t="s">
        <v>39</v>
      </c>
      <c r="C30" s="17">
        <v>3</v>
      </c>
      <c r="D30" s="17">
        <v>100</v>
      </c>
      <c r="E30" s="21">
        <f>$C$30*D30</f>
        <v>300</v>
      </c>
      <c r="F30" s="17">
        <v>10</v>
      </c>
      <c r="G30" s="24">
        <f>$C$30*F30</f>
        <v>30</v>
      </c>
      <c r="H30" s="17">
        <v>10</v>
      </c>
      <c r="I30" s="24">
        <f>$C$30*H30</f>
        <v>30</v>
      </c>
      <c r="J30" s="17">
        <v>10</v>
      </c>
      <c r="K30" s="24">
        <f>$C$30*J30</f>
        <v>30</v>
      </c>
      <c r="L30" s="17">
        <v>10</v>
      </c>
      <c r="M30" s="24">
        <f>$C$30*L30</f>
        <v>30</v>
      </c>
      <c r="N30" s="17">
        <v>10</v>
      </c>
      <c r="O30" s="24">
        <f>$C$30*N30</f>
        <v>30</v>
      </c>
      <c r="P30" s="17">
        <v>10</v>
      </c>
      <c r="Q30" s="24">
        <f>$C$30*P30</f>
        <v>30</v>
      </c>
    </row>
    <row r="31" spans="1:17" ht="12.75">
      <c r="A31" s="38" t="s">
        <v>34</v>
      </c>
      <c r="B31" s="41" t="s">
        <v>31</v>
      </c>
      <c r="C31" s="17">
        <v>12</v>
      </c>
      <c r="D31" s="17">
        <v>4.5</v>
      </c>
      <c r="E31" s="21">
        <f>D31*C31</f>
        <v>54</v>
      </c>
      <c r="F31" s="17">
        <v>4.5</v>
      </c>
      <c r="G31" s="24">
        <f>+C31*F31</f>
        <v>54</v>
      </c>
      <c r="H31" s="17">
        <v>4.5</v>
      </c>
      <c r="I31" s="24">
        <f>+C31*H31</f>
        <v>54</v>
      </c>
      <c r="J31" s="17">
        <v>4.5</v>
      </c>
      <c r="K31" s="24">
        <f>J31*C31</f>
        <v>54</v>
      </c>
      <c r="L31" s="17">
        <v>4.5</v>
      </c>
      <c r="M31" s="24">
        <f>L31*C31</f>
        <v>54</v>
      </c>
      <c r="N31" s="17">
        <v>4.5</v>
      </c>
      <c r="O31" s="24">
        <f>+N31*C31</f>
        <v>54</v>
      </c>
      <c r="P31" s="17">
        <v>4.5</v>
      </c>
      <c r="Q31" s="24">
        <f>+P31*C31</f>
        <v>54</v>
      </c>
    </row>
    <row r="32" spans="1:17" ht="12.75">
      <c r="A32" s="17" t="s">
        <v>40</v>
      </c>
      <c r="B32" s="17"/>
      <c r="C32" s="17"/>
      <c r="D32" s="17"/>
      <c r="E32" s="18"/>
      <c r="F32" s="17"/>
      <c r="G32" s="18"/>
      <c r="H32" s="17"/>
      <c r="I32" s="18"/>
      <c r="J32" s="17"/>
      <c r="K32" s="37"/>
      <c r="L32" s="17"/>
      <c r="M32" s="17"/>
      <c r="N32" s="17"/>
      <c r="O32" s="17"/>
      <c r="P32" s="17"/>
      <c r="Q32" s="17"/>
    </row>
    <row r="33" spans="1:17" ht="12.75">
      <c r="A33" s="38" t="s">
        <v>41</v>
      </c>
      <c r="B33" s="17" t="s">
        <v>31</v>
      </c>
      <c r="C33" s="17">
        <v>12</v>
      </c>
      <c r="D33" s="17">
        <f>1.1*D34</f>
        <v>0.55</v>
      </c>
      <c r="E33" s="18">
        <f>$C$33*D33</f>
        <v>6.6000000000000005</v>
      </c>
      <c r="F33" s="17">
        <f>1.1*F34</f>
        <v>0.55</v>
      </c>
      <c r="G33" s="18">
        <f>$C$33*F33</f>
        <v>6.6000000000000005</v>
      </c>
      <c r="H33" s="17">
        <f>1.1*H34</f>
        <v>0.55</v>
      </c>
      <c r="I33" s="18">
        <f>$C$33*H33</f>
        <v>6.6000000000000005</v>
      </c>
      <c r="J33" s="17">
        <f>1.1*J34</f>
        <v>0.55</v>
      </c>
      <c r="K33" s="18">
        <f>$C$33*J33</f>
        <v>6.6000000000000005</v>
      </c>
      <c r="L33" s="17">
        <f>1.1*L34</f>
        <v>0.55</v>
      </c>
      <c r="M33" s="18">
        <f>$C$33*L33</f>
        <v>6.6000000000000005</v>
      </c>
      <c r="N33" s="17">
        <f>1.1*N34</f>
        <v>0.55</v>
      </c>
      <c r="O33" s="18">
        <f>$C$33*N33</f>
        <v>6.6000000000000005</v>
      </c>
      <c r="P33" s="17">
        <f>1.1*P34</f>
        <v>0.55</v>
      </c>
      <c r="Q33" s="18">
        <f>$C$33*P33</f>
        <v>6.6000000000000005</v>
      </c>
    </row>
    <row r="34" spans="1:17" ht="12.75">
      <c r="A34" s="38" t="s">
        <v>32</v>
      </c>
      <c r="B34" s="17" t="s">
        <v>31</v>
      </c>
      <c r="C34" s="17">
        <f>+C26</f>
        <v>14</v>
      </c>
      <c r="D34" s="17">
        <v>0.5</v>
      </c>
      <c r="E34" s="24">
        <f>$C$34*D34</f>
        <v>7</v>
      </c>
      <c r="F34" s="17">
        <v>0.5</v>
      </c>
      <c r="G34" s="24">
        <f>$C$34*F34</f>
        <v>7</v>
      </c>
      <c r="H34" s="17">
        <v>0.5</v>
      </c>
      <c r="I34" s="24">
        <f>$C$34*H34</f>
        <v>7</v>
      </c>
      <c r="J34" s="17">
        <v>0.5</v>
      </c>
      <c r="K34" s="24">
        <f>$C$34*J34</f>
        <v>7</v>
      </c>
      <c r="L34" s="17">
        <v>0.5</v>
      </c>
      <c r="M34" s="24">
        <f>$C$34*L34</f>
        <v>7</v>
      </c>
      <c r="N34" s="17">
        <v>0.5</v>
      </c>
      <c r="O34" s="24">
        <f>$C$34*N34</f>
        <v>7</v>
      </c>
      <c r="P34" s="17">
        <v>0.5</v>
      </c>
      <c r="Q34" s="24">
        <f>$C$34*P34</f>
        <v>7</v>
      </c>
    </row>
    <row r="35" spans="1:17" ht="12.75">
      <c r="A35" s="17" t="s">
        <v>42</v>
      </c>
      <c r="B35" s="17" t="s">
        <v>28</v>
      </c>
      <c r="C35" s="17">
        <v>5</v>
      </c>
      <c r="D35" s="17">
        <v>1</v>
      </c>
      <c r="E35" s="17">
        <f>$C$35*D35</f>
        <v>5</v>
      </c>
      <c r="F35" s="17">
        <v>1</v>
      </c>
      <c r="G35" s="17">
        <f>$C$35*F35</f>
        <v>5</v>
      </c>
      <c r="H35" s="17">
        <v>1</v>
      </c>
      <c r="I35" s="17">
        <f>$C$35*H35</f>
        <v>5</v>
      </c>
      <c r="J35" s="17">
        <v>1</v>
      </c>
      <c r="K35" s="17">
        <f>$C$35*J35</f>
        <v>5</v>
      </c>
      <c r="L35" s="17">
        <v>1</v>
      </c>
      <c r="M35" s="17">
        <f>$C$35*L35</f>
        <v>5</v>
      </c>
      <c r="N35" s="17">
        <v>1</v>
      </c>
      <c r="O35" s="17">
        <f>$C$35*N35</f>
        <v>5</v>
      </c>
      <c r="P35" s="17">
        <v>1</v>
      </c>
      <c r="Q35" s="17">
        <f>$C$35*P35</f>
        <v>5</v>
      </c>
    </row>
    <row r="36" spans="1:17" ht="12.75">
      <c r="A36" s="3" t="s">
        <v>43</v>
      </c>
      <c r="B36" s="17"/>
      <c r="C36" s="17"/>
      <c r="D36" s="17"/>
      <c r="E36" s="18"/>
      <c r="F36" s="17"/>
      <c r="G36" s="18"/>
      <c r="H36" s="17"/>
      <c r="I36" s="18"/>
      <c r="J36" s="17"/>
      <c r="K36" s="37"/>
      <c r="L36" s="17"/>
      <c r="M36" s="17"/>
      <c r="N36" s="17"/>
      <c r="O36" s="17"/>
      <c r="P36" s="17"/>
      <c r="Q36" s="17"/>
    </row>
    <row r="37" spans="1:17" ht="12.75">
      <c r="A37" s="38" t="s">
        <v>44</v>
      </c>
      <c r="B37" s="17" t="s">
        <v>45</v>
      </c>
      <c r="C37" s="17"/>
      <c r="D37" s="17"/>
      <c r="E37" s="18"/>
      <c r="F37" s="17"/>
      <c r="G37" s="18"/>
      <c r="H37" s="17"/>
      <c r="I37" s="18"/>
      <c r="J37" s="17"/>
      <c r="K37" s="37"/>
      <c r="L37" s="17"/>
      <c r="M37" s="17"/>
      <c r="N37" s="17"/>
      <c r="O37" s="17"/>
      <c r="P37" s="17"/>
      <c r="Q37" s="17"/>
    </row>
    <row r="38" spans="1:17" ht="12.75">
      <c r="A38" s="38" t="s">
        <v>46</v>
      </c>
      <c r="B38" s="17" t="s">
        <v>47</v>
      </c>
      <c r="C38" s="17">
        <v>2.25</v>
      </c>
      <c r="D38" s="21">
        <f>43560/(3*10)</f>
        <v>1452</v>
      </c>
      <c r="E38" s="21">
        <f>C38*D38</f>
        <v>3267</v>
      </c>
      <c r="F38" s="17">
        <v>27</v>
      </c>
      <c r="G38" s="18">
        <f>F38*C38</f>
        <v>60.75</v>
      </c>
      <c r="H38" s="17"/>
      <c r="I38" s="18"/>
      <c r="J38" s="17"/>
      <c r="K38" s="37"/>
      <c r="L38" s="17"/>
      <c r="M38" s="17"/>
      <c r="N38" s="17"/>
      <c r="O38" s="17"/>
      <c r="P38" s="17"/>
      <c r="Q38" s="17"/>
    </row>
    <row r="39" spans="1:17" ht="12.75">
      <c r="A39" s="38" t="s">
        <v>48</v>
      </c>
      <c r="B39" s="17" t="s">
        <v>31</v>
      </c>
      <c r="C39" s="17">
        <v>12</v>
      </c>
      <c r="D39" s="17">
        <f>+(1*D38)/60</f>
        <v>24.2</v>
      </c>
      <c r="E39" s="18">
        <f>C39*D39</f>
        <v>290.4</v>
      </c>
      <c r="F39" s="17">
        <f>+(1*F38)/60</f>
        <v>0.45</v>
      </c>
      <c r="G39" s="18">
        <f>C39*F39</f>
        <v>5.4</v>
      </c>
      <c r="H39" s="17"/>
      <c r="I39" s="17"/>
      <c r="J39" s="17"/>
      <c r="K39" s="37"/>
      <c r="L39" s="17"/>
      <c r="M39" s="17"/>
      <c r="N39" s="17"/>
      <c r="O39" s="17"/>
      <c r="P39" s="17"/>
      <c r="Q39" s="17"/>
    </row>
    <row r="40" spans="1:17" ht="12.75">
      <c r="A40" s="38" t="s">
        <v>41</v>
      </c>
      <c r="B40" s="17" t="s">
        <v>31</v>
      </c>
      <c r="C40" s="17">
        <v>12</v>
      </c>
      <c r="D40" s="17">
        <f>1.1*D41</f>
        <v>0.55</v>
      </c>
      <c r="E40" s="18">
        <f>+D40*C40</f>
        <v>6.6000000000000005</v>
      </c>
      <c r="F40" s="17"/>
      <c r="G40" s="18"/>
      <c r="H40" s="17"/>
      <c r="I40" s="17"/>
      <c r="J40" s="17"/>
      <c r="K40" s="37"/>
      <c r="L40" s="17"/>
      <c r="M40" s="17"/>
      <c r="N40" s="17"/>
      <c r="O40" s="17"/>
      <c r="P40" s="17"/>
      <c r="Q40" s="17"/>
    </row>
    <row r="41" spans="1:17" ht="12.75">
      <c r="A41" s="42" t="s">
        <v>32</v>
      </c>
      <c r="B41" s="43" t="s">
        <v>31</v>
      </c>
      <c r="C41" s="43">
        <v>14</v>
      </c>
      <c r="D41" s="43">
        <v>0.5</v>
      </c>
      <c r="E41" s="43">
        <f>+D41*C41</f>
        <v>7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ht="12.75">
      <c r="A42" s="139" t="s">
        <v>49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1"/>
    </row>
    <row r="43" spans="1:17" ht="12.75">
      <c r="A43" s="3"/>
      <c r="B43" s="4"/>
      <c r="C43" s="4"/>
      <c r="D43" s="122" t="s">
        <v>4</v>
      </c>
      <c r="E43" s="148"/>
      <c r="F43" s="122" t="s">
        <v>5</v>
      </c>
      <c r="G43" s="148"/>
      <c r="H43" s="123" t="s">
        <v>6</v>
      </c>
      <c r="I43" s="148"/>
      <c r="J43" s="123" t="s">
        <v>7</v>
      </c>
      <c r="K43" s="148"/>
      <c r="L43" s="123" t="s">
        <v>8</v>
      </c>
      <c r="M43" s="148"/>
      <c r="N43" s="123" t="s">
        <v>9</v>
      </c>
      <c r="O43" s="148"/>
      <c r="P43" s="122" t="s">
        <v>10</v>
      </c>
      <c r="Q43" s="148"/>
    </row>
    <row r="44" spans="1:17" ht="12.75">
      <c r="A44" s="3" t="s">
        <v>50</v>
      </c>
      <c r="B44" s="4"/>
      <c r="C44" s="4" t="s">
        <v>12</v>
      </c>
      <c r="D44" s="4" t="s">
        <v>13</v>
      </c>
      <c r="E44" s="44"/>
      <c r="F44" s="4" t="s">
        <v>13</v>
      </c>
      <c r="G44" s="14"/>
      <c r="H44" s="4" t="s">
        <v>13</v>
      </c>
      <c r="I44" s="14"/>
      <c r="J44" s="4" t="s">
        <v>13</v>
      </c>
      <c r="K44" s="14"/>
      <c r="L44" s="4" t="s">
        <v>13</v>
      </c>
      <c r="M44" s="2"/>
      <c r="N44" s="2" t="s">
        <v>13</v>
      </c>
      <c r="O44" s="11"/>
      <c r="P44" s="2" t="s">
        <v>13</v>
      </c>
      <c r="Q44" s="11"/>
    </row>
    <row r="45" spans="1:17" ht="12.75">
      <c r="A45" s="6"/>
      <c r="B45" s="7" t="s">
        <v>14</v>
      </c>
      <c r="C45" s="7" t="s">
        <v>14</v>
      </c>
      <c r="D45" s="7" t="s">
        <v>15</v>
      </c>
      <c r="E45" s="15" t="s">
        <v>16</v>
      </c>
      <c r="F45" s="7" t="s">
        <v>15</v>
      </c>
      <c r="G45" s="15" t="s">
        <v>16</v>
      </c>
      <c r="H45" s="7" t="s">
        <v>15</v>
      </c>
      <c r="I45" s="15" t="s">
        <v>16</v>
      </c>
      <c r="J45" s="7" t="s">
        <v>15</v>
      </c>
      <c r="K45" s="15" t="s">
        <v>16</v>
      </c>
      <c r="L45" s="7" t="s">
        <v>15</v>
      </c>
      <c r="M45" s="7" t="s">
        <v>16</v>
      </c>
      <c r="N45" s="7" t="s">
        <v>15</v>
      </c>
      <c r="O45" s="15" t="s">
        <v>16</v>
      </c>
      <c r="P45" s="7" t="s">
        <v>15</v>
      </c>
      <c r="Q45" s="15" t="s">
        <v>16</v>
      </c>
    </row>
    <row r="46" spans="1:17" ht="12.75">
      <c r="A46" s="1" t="s">
        <v>51</v>
      </c>
      <c r="B46" s="9"/>
      <c r="C46" s="9"/>
      <c r="D46" s="45"/>
      <c r="E46" s="10"/>
      <c r="F46" s="9"/>
      <c r="G46" s="10"/>
      <c r="H46" s="9"/>
      <c r="I46" s="10"/>
      <c r="J46" s="9"/>
      <c r="K46" s="46"/>
      <c r="L46" s="9"/>
      <c r="M46" s="17"/>
      <c r="N46" s="17"/>
      <c r="O46" s="41"/>
      <c r="P46" s="9"/>
      <c r="Q46" s="41"/>
    </row>
    <row r="47" spans="1:17" ht="12.75">
      <c r="A47" s="38" t="s">
        <v>52</v>
      </c>
      <c r="B47" s="17" t="s">
        <v>28</v>
      </c>
      <c r="C47" s="17">
        <v>13</v>
      </c>
      <c r="D47" s="21">
        <v>1</v>
      </c>
      <c r="E47" s="24">
        <f>C47*D47</f>
        <v>13</v>
      </c>
      <c r="F47" s="17"/>
      <c r="G47" s="18"/>
      <c r="H47" s="17"/>
      <c r="I47" s="18"/>
      <c r="J47" s="17"/>
      <c r="K47" s="37"/>
      <c r="L47" s="17"/>
      <c r="M47" s="17"/>
      <c r="N47" s="17"/>
      <c r="O47" s="41"/>
      <c r="P47" s="17"/>
      <c r="Q47" s="41"/>
    </row>
    <row r="48" spans="1:17" ht="12.75">
      <c r="A48" s="38" t="s">
        <v>41</v>
      </c>
      <c r="B48" s="17" t="s">
        <v>31</v>
      </c>
      <c r="C48" s="17">
        <v>12</v>
      </c>
      <c r="D48" s="17">
        <f>1.1*D49</f>
        <v>0.55</v>
      </c>
      <c r="E48" s="18">
        <f>C48*D48</f>
        <v>6.6000000000000005</v>
      </c>
      <c r="F48" s="17"/>
      <c r="G48" s="18"/>
      <c r="H48" s="17"/>
      <c r="I48" s="18"/>
      <c r="J48" s="17"/>
      <c r="K48" s="37"/>
      <c r="L48" s="17"/>
      <c r="M48" s="17"/>
      <c r="N48" s="17"/>
      <c r="O48" s="41"/>
      <c r="P48" s="17"/>
      <c r="Q48" s="41"/>
    </row>
    <row r="49" spans="1:17" ht="12.75">
      <c r="A49" s="38" t="s">
        <v>32</v>
      </c>
      <c r="B49" s="17" t="s">
        <v>28</v>
      </c>
      <c r="C49" s="17">
        <f>+C34</f>
        <v>14</v>
      </c>
      <c r="D49" s="17">
        <v>0.5</v>
      </c>
      <c r="E49" s="24">
        <f>C49*D49</f>
        <v>7</v>
      </c>
      <c r="F49" s="17"/>
      <c r="G49" s="18"/>
      <c r="H49" s="17"/>
      <c r="I49" s="18"/>
      <c r="J49" s="17"/>
      <c r="K49" s="37"/>
      <c r="L49" s="17"/>
      <c r="M49" s="17"/>
      <c r="N49" s="17"/>
      <c r="O49" s="41"/>
      <c r="P49" s="17"/>
      <c r="Q49" s="41"/>
    </row>
    <row r="50" spans="1:17" ht="12.75">
      <c r="A50" s="3" t="s">
        <v>53</v>
      </c>
      <c r="B50" s="17" t="s">
        <v>31</v>
      </c>
      <c r="C50" s="17">
        <v>12</v>
      </c>
      <c r="D50" s="17"/>
      <c r="E50" s="18"/>
      <c r="F50" s="17">
        <f>(1*$D$38)/60</f>
        <v>24.2</v>
      </c>
      <c r="G50" s="18">
        <f>F50*C50</f>
        <v>290.4</v>
      </c>
      <c r="H50" s="17">
        <f>(1*$D$38)/60</f>
        <v>24.2</v>
      </c>
      <c r="I50" s="18">
        <f>H50*C50</f>
        <v>290.4</v>
      </c>
      <c r="J50" s="17">
        <f>(1*$D$38)/60</f>
        <v>24.2</v>
      </c>
      <c r="K50" s="37">
        <f>J50*C50</f>
        <v>290.4</v>
      </c>
      <c r="L50" s="17">
        <f>(1*$D$38)/60</f>
        <v>24.2</v>
      </c>
      <c r="M50" s="17">
        <f>L50*C50</f>
        <v>290.4</v>
      </c>
      <c r="N50" s="17">
        <f>(1*$D$38)/60</f>
        <v>24.2</v>
      </c>
      <c r="O50" s="41">
        <f>N50*C50</f>
        <v>290.4</v>
      </c>
      <c r="P50" s="17">
        <f>(1*$D$38)/60</f>
        <v>24.2</v>
      </c>
      <c r="Q50" s="41">
        <f>P50*$C$50</f>
        <v>290.4</v>
      </c>
    </row>
    <row r="51" spans="1:17" ht="12.75">
      <c r="A51" s="3" t="s">
        <v>54</v>
      </c>
      <c r="B51" s="3"/>
      <c r="C51" s="3"/>
      <c r="D51" s="17"/>
      <c r="E51" s="18"/>
      <c r="F51" s="17"/>
      <c r="G51" s="18"/>
      <c r="H51" s="17"/>
      <c r="I51" s="18"/>
      <c r="J51" s="17"/>
      <c r="K51" s="37"/>
      <c r="L51" s="17"/>
      <c r="M51" s="17"/>
      <c r="N51" s="17"/>
      <c r="O51" s="41"/>
      <c r="P51" s="17"/>
      <c r="Q51" s="41"/>
    </row>
    <row r="52" spans="1:17" ht="12.75">
      <c r="A52" s="38" t="s">
        <v>55</v>
      </c>
      <c r="B52" s="17" t="s">
        <v>56</v>
      </c>
      <c r="C52" s="17">
        <v>16.92</v>
      </c>
      <c r="D52" s="17">
        <v>1</v>
      </c>
      <c r="E52" s="18">
        <f>D52*C52</f>
        <v>16.92</v>
      </c>
      <c r="F52" s="17">
        <f>+D52</f>
        <v>1</v>
      </c>
      <c r="G52" s="18">
        <f>C52*F52</f>
        <v>16.92</v>
      </c>
      <c r="H52" s="17">
        <f>+F52</f>
        <v>1</v>
      </c>
      <c r="I52" s="18">
        <f>H52*$C$52</f>
        <v>16.92</v>
      </c>
      <c r="J52" s="17">
        <f>+H52</f>
        <v>1</v>
      </c>
      <c r="K52" s="18">
        <f>J52*$C$52</f>
        <v>16.92</v>
      </c>
      <c r="L52" s="17">
        <f>+J52</f>
        <v>1</v>
      </c>
      <c r="M52" s="18">
        <f>L52*$C$52</f>
        <v>16.92</v>
      </c>
      <c r="N52" s="17">
        <f>+L52</f>
        <v>1</v>
      </c>
      <c r="O52" s="47">
        <f>N52*$C$52</f>
        <v>16.92</v>
      </c>
      <c r="P52" s="17">
        <f>+N52</f>
        <v>1</v>
      </c>
      <c r="Q52" s="47">
        <f>P52*$C$52</f>
        <v>16.92</v>
      </c>
    </row>
    <row r="53" spans="1:17" ht="12.75">
      <c r="A53" s="38" t="s">
        <v>41</v>
      </c>
      <c r="B53" s="17" t="s">
        <v>31</v>
      </c>
      <c r="C53" s="17">
        <v>12</v>
      </c>
      <c r="D53" s="17">
        <f>1.1*D54</f>
        <v>0.55</v>
      </c>
      <c r="E53" s="18">
        <f>$C$53*D53</f>
        <v>6.6000000000000005</v>
      </c>
      <c r="F53" s="17">
        <f>+D53</f>
        <v>0.55</v>
      </c>
      <c r="G53" s="18">
        <f>C53*F53</f>
        <v>6.6000000000000005</v>
      </c>
      <c r="H53" s="17">
        <f>+D53</f>
        <v>0.55</v>
      </c>
      <c r="I53" s="18">
        <f>H53*$C$53</f>
        <v>6.6000000000000005</v>
      </c>
      <c r="J53" s="17">
        <f>+D53</f>
        <v>0.55</v>
      </c>
      <c r="K53" s="18">
        <f>J53*$C$53</f>
        <v>6.6000000000000005</v>
      </c>
      <c r="L53" s="17">
        <f>+D53</f>
        <v>0.55</v>
      </c>
      <c r="M53" s="18">
        <f>L53*$C$53</f>
        <v>6.6000000000000005</v>
      </c>
      <c r="N53" s="17">
        <f>+D53</f>
        <v>0.55</v>
      </c>
      <c r="O53" s="47">
        <f>N53*$C$53</f>
        <v>6.6000000000000005</v>
      </c>
      <c r="P53" s="17">
        <f>+D53</f>
        <v>0.55</v>
      </c>
      <c r="Q53" s="47">
        <f>P53*$C$53</f>
        <v>6.6000000000000005</v>
      </c>
    </row>
    <row r="54" spans="1:17" ht="12.75">
      <c r="A54" s="38" t="s">
        <v>32</v>
      </c>
      <c r="B54" s="17" t="s">
        <v>28</v>
      </c>
      <c r="C54" s="17">
        <f>+C49</f>
        <v>14</v>
      </c>
      <c r="D54" s="18">
        <v>0.5</v>
      </c>
      <c r="E54" s="17">
        <f>$C$54*D54</f>
        <v>7</v>
      </c>
      <c r="F54" s="18">
        <f>+D54</f>
        <v>0.5</v>
      </c>
      <c r="G54" s="17">
        <f>$C$54*F54</f>
        <v>7</v>
      </c>
      <c r="H54" s="18">
        <f>+D54</f>
        <v>0.5</v>
      </c>
      <c r="I54" s="17">
        <f>$C$54*H54</f>
        <v>7</v>
      </c>
      <c r="J54" s="18">
        <f>+D54</f>
        <v>0.5</v>
      </c>
      <c r="K54" s="17">
        <f>$C$54*J54</f>
        <v>7</v>
      </c>
      <c r="L54" s="18">
        <f>+D54</f>
        <v>0.5</v>
      </c>
      <c r="M54" s="17">
        <f>$C$54*L54</f>
        <v>7</v>
      </c>
      <c r="N54" s="18">
        <f>+D54</f>
        <v>0.5</v>
      </c>
      <c r="O54" s="41">
        <f>$C$54*N54</f>
        <v>7</v>
      </c>
      <c r="P54" s="18">
        <f>+D54</f>
        <v>0.5</v>
      </c>
      <c r="Q54" s="41">
        <f>$C$54*P54</f>
        <v>7</v>
      </c>
    </row>
    <row r="55" spans="1:17" ht="12.75">
      <c r="A55" s="3" t="s">
        <v>57</v>
      </c>
      <c r="B55" s="3"/>
      <c r="C55" s="3"/>
      <c r="D55" s="17"/>
      <c r="E55" s="18"/>
      <c r="F55" s="17"/>
      <c r="G55" s="18"/>
      <c r="H55" s="17"/>
      <c r="I55" s="18"/>
      <c r="J55" s="17"/>
      <c r="K55" s="37"/>
      <c r="L55" s="17"/>
      <c r="M55" s="17"/>
      <c r="N55" s="17"/>
      <c r="O55" s="41"/>
      <c r="P55" s="17"/>
      <c r="Q55" s="41"/>
    </row>
    <row r="56" spans="1:17" ht="12.75">
      <c r="A56" s="38" t="s">
        <v>41</v>
      </c>
      <c r="B56" s="17" t="s">
        <v>31</v>
      </c>
      <c r="C56" s="17">
        <v>12</v>
      </c>
      <c r="D56" s="18">
        <f>1.1*D57</f>
        <v>1.089</v>
      </c>
      <c r="E56" s="18">
        <f>C56*D56</f>
        <v>13.068</v>
      </c>
      <c r="F56" s="18">
        <f>1.1*F57</f>
        <v>1.089</v>
      </c>
      <c r="G56" s="18">
        <f>F56*C56</f>
        <v>13.068</v>
      </c>
      <c r="H56" s="18">
        <f>1.1*H57</f>
        <v>1.089</v>
      </c>
      <c r="I56" s="18">
        <f>H56*$C$56</f>
        <v>13.068</v>
      </c>
      <c r="J56" s="18">
        <f>1.1*J57</f>
        <v>1.089</v>
      </c>
      <c r="K56" s="18">
        <f>J56*$C$56</f>
        <v>13.068</v>
      </c>
      <c r="L56" s="18">
        <f>1.1*L57</f>
        <v>1.089</v>
      </c>
      <c r="M56" s="18">
        <f>L56*$C$56</f>
        <v>13.068</v>
      </c>
      <c r="N56" s="18">
        <f>1.1*N57</f>
        <v>1.089</v>
      </c>
      <c r="O56" s="47">
        <f>N56*$C$56</f>
        <v>13.068</v>
      </c>
      <c r="P56" s="18">
        <f>1.1*P57</f>
        <v>1.089</v>
      </c>
      <c r="Q56" s="47">
        <f>P56*$C$56</f>
        <v>13.068</v>
      </c>
    </row>
    <row r="57" spans="1:17" ht="12.75">
      <c r="A57" s="38" t="s">
        <v>32</v>
      </c>
      <c r="B57" s="17" t="s">
        <v>31</v>
      </c>
      <c r="C57" s="17">
        <f>+C49</f>
        <v>14</v>
      </c>
      <c r="D57" s="17">
        <f>0.33*3</f>
        <v>0.99</v>
      </c>
      <c r="E57" s="18">
        <f>$C$57*D57</f>
        <v>13.86</v>
      </c>
      <c r="F57" s="17">
        <f>0.33*3</f>
        <v>0.99</v>
      </c>
      <c r="G57" s="18">
        <f>$C$57*F57</f>
        <v>13.86</v>
      </c>
      <c r="H57" s="17">
        <f>0.33*3</f>
        <v>0.99</v>
      </c>
      <c r="I57" s="18">
        <f>$C$57*H57</f>
        <v>13.86</v>
      </c>
      <c r="J57" s="17">
        <f>0.33*3</f>
        <v>0.99</v>
      </c>
      <c r="K57" s="18">
        <f>$C$57*J57</f>
        <v>13.86</v>
      </c>
      <c r="L57" s="17">
        <f>0.33*3</f>
        <v>0.99</v>
      </c>
      <c r="M57" s="18">
        <f>$C$57*L57</f>
        <v>13.86</v>
      </c>
      <c r="N57" s="17">
        <f>0.33*3</f>
        <v>0.99</v>
      </c>
      <c r="O57" s="47">
        <f>$C$57*N57</f>
        <v>13.86</v>
      </c>
      <c r="P57" s="17">
        <f>0.33*3</f>
        <v>0.99</v>
      </c>
      <c r="Q57" s="47">
        <f>$C$57*P57</f>
        <v>13.86</v>
      </c>
    </row>
    <row r="58" spans="1:17" ht="12.75">
      <c r="A58" s="3" t="s">
        <v>58</v>
      </c>
      <c r="B58" s="17"/>
      <c r="C58" s="17"/>
      <c r="D58" s="17"/>
      <c r="E58" s="18"/>
      <c r="F58" s="17"/>
      <c r="G58" s="18"/>
      <c r="H58" s="17"/>
      <c r="I58" s="18"/>
      <c r="J58" s="17"/>
      <c r="K58" s="37"/>
      <c r="L58" s="17"/>
      <c r="M58" s="17"/>
      <c r="N58" s="17"/>
      <c r="O58" s="41"/>
      <c r="P58" s="17"/>
      <c r="Q58" s="41"/>
    </row>
    <row r="59" spans="1:17" ht="12.75">
      <c r="A59" s="38" t="s">
        <v>59</v>
      </c>
      <c r="B59" s="17" t="s">
        <v>60</v>
      </c>
      <c r="C59" s="17">
        <v>1.25</v>
      </c>
      <c r="D59" s="17">
        <v>35</v>
      </c>
      <c r="E59" s="18">
        <f>D59*C59</f>
        <v>43.75</v>
      </c>
      <c r="F59" s="17">
        <f>+D59</f>
        <v>35</v>
      </c>
      <c r="G59" s="18">
        <f>C59*F59</f>
        <v>43.75</v>
      </c>
      <c r="H59" s="17">
        <f>+D59</f>
        <v>35</v>
      </c>
      <c r="I59" s="18">
        <f>H59*$C$59</f>
        <v>43.75</v>
      </c>
      <c r="J59" s="17">
        <f>+D59</f>
        <v>35</v>
      </c>
      <c r="K59" s="18">
        <f>J59*$C$59</f>
        <v>43.75</v>
      </c>
      <c r="L59" s="17">
        <f>+D59</f>
        <v>35</v>
      </c>
      <c r="M59" s="18">
        <f>L59*$C$59</f>
        <v>43.75</v>
      </c>
      <c r="N59" s="24">
        <f>+D59</f>
        <v>35</v>
      </c>
      <c r="O59" s="47">
        <f>N59*$C$59</f>
        <v>43.75</v>
      </c>
      <c r="P59" s="24">
        <f>+D59</f>
        <v>35</v>
      </c>
      <c r="Q59" s="47">
        <f>P59*$C$59</f>
        <v>43.75</v>
      </c>
    </row>
    <row r="60" spans="1:17" ht="12.75">
      <c r="A60" s="3" t="s">
        <v>61</v>
      </c>
      <c r="B60" s="17" t="s">
        <v>62</v>
      </c>
      <c r="C60" s="17">
        <v>70</v>
      </c>
      <c r="D60" s="17"/>
      <c r="E60" s="17"/>
      <c r="F60" s="17"/>
      <c r="G60" s="18"/>
      <c r="H60" s="24">
        <v>1</v>
      </c>
      <c r="I60" s="24">
        <f>H60*$C$60</f>
        <v>70</v>
      </c>
      <c r="J60" s="24">
        <f>+H60</f>
        <v>1</v>
      </c>
      <c r="K60" s="24">
        <f>J60*$C$60</f>
        <v>70</v>
      </c>
      <c r="L60" s="24">
        <f>+J60</f>
        <v>1</v>
      </c>
      <c r="M60" s="24">
        <f>L60*$C$60</f>
        <v>70</v>
      </c>
      <c r="N60" s="24">
        <f>+L60</f>
        <v>1</v>
      </c>
      <c r="O60" s="25">
        <f>N60*$C$60</f>
        <v>70</v>
      </c>
      <c r="P60" s="24">
        <f>+N60</f>
        <v>1</v>
      </c>
      <c r="Q60" s="25">
        <f>P60*$C$60</f>
        <v>70</v>
      </c>
    </row>
    <row r="61" spans="1:17" ht="12.75">
      <c r="A61" s="3" t="s">
        <v>63</v>
      </c>
      <c r="B61" s="17"/>
      <c r="C61" s="17"/>
      <c r="D61" s="17"/>
      <c r="E61" s="18"/>
      <c r="F61" s="17"/>
      <c r="G61" s="18"/>
      <c r="H61" s="17"/>
      <c r="I61" s="18"/>
      <c r="J61" s="17"/>
      <c r="K61" s="37"/>
      <c r="L61" s="17"/>
      <c r="M61" s="17"/>
      <c r="N61" s="17"/>
      <c r="O61" s="41"/>
      <c r="P61" s="17"/>
      <c r="Q61" s="41"/>
    </row>
    <row r="62" spans="1:17" ht="12.75">
      <c r="A62" s="38" t="s">
        <v>64</v>
      </c>
      <c r="B62" s="17" t="s">
        <v>31</v>
      </c>
      <c r="C62" s="24">
        <v>12</v>
      </c>
      <c r="D62" s="48">
        <v>52</v>
      </c>
      <c r="E62" s="24">
        <f>$C$62*D62</f>
        <v>624</v>
      </c>
      <c r="F62" s="48">
        <v>52</v>
      </c>
      <c r="G62" s="24">
        <f>$C$62*F62</f>
        <v>624</v>
      </c>
      <c r="H62" s="48">
        <v>52</v>
      </c>
      <c r="I62" s="24">
        <f>$C$62*H62</f>
        <v>624</v>
      </c>
      <c r="J62" s="48">
        <v>52</v>
      </c>
      <c r="K62" s="24">
        <f>$C$62*J62</f>
        <v>624</v>
      </c>
      <c r="L62" s="48">
        <v>52</v>
      </c>
      <c r="M62" s="24">
        <f>$C$62*L62</f>
        <v>624</v>
      </c>
      <c r="N62" s="48">
        <v>52</v>
      </c>
      <c r="O62" s="25">
        <f>$C$62*N62</f>
        <v>624</v>
      </c>
      <c r="P62" s="48">
        <v>52</v>
      </c>
      <c r="Q62" s="25">
        <f>$C$62*P62</f>
        <v>624</v>
      </c>
    </row>
    <row r="63" spans="1:17" ht="12.75">
      <c r="A63" s="3" t="s">
        <v>65</v>
      </c>
      <c r="B63" s="17"/>
      <c r="C63" s="17"/>
      <c r="D63" s="49"/>
      <c r="E63" s="18"/>
      <c r="F63" s="49"/>
      <c r="G63" s="18"/>
      <c r="H63" s="49"/>
      <c r="I63" s="18"/>
      <c r="J63" s="49"/>
      <c r="K63" s="18"/>
      <c r="L63" s="49"/>
      <c r="M63" s="18"/>
      <c r="N63" s="49"/>
      <c r="O63" s="47"/>
      <c r="P63" s="49"/>
      <c r="Q63" s="47"/>
    </row>
    <row r="64" spans="1:17" ht="12.75">
      <c r="A64" s="38" t="s">
        <v>66</v>
      </c>
      <c r="B64" s="17" t="s">
        <v>67</v>
      </c>
      <c r="C64" s="24">
        <v>17</v>
      </c>
      <c r="D64" s="24">
        <v>24</v>
      </c>
      <c r="E64" s="24">
        <f>+C64*D64</f>
        <v>408</v>
      </c>
      <c r="F64" s="24">
        <v>24</v>
      </c>
      <c r="G64" s="24">
        <f>+C64*F64</f>
        <v>408</v>
      </c>
      <c r="H64" s="24">
        <v>24</v>
      </c>
      <c r="I64" s="24">
        <f>+C64*H64</f>
        <v>408</v>
      </c>
      <c r="J64" s="24">
        <v>24</v>
      </c>
      <c r="K64" s="24">
        <f>+C64*J64</f>
        <v>408</v>
      </c>
      <c r="L64" s="24">
        <v>24</v>
      </c>
      <c r="M64" s="24">
        <f>+C64*L64</f>
        <v>408</v>
      </c>
      <c r="N64" s="24">
        <v>24</v>
      </c>
      <c r="O64" s="25">
        <f>+C64*N64</f>
        <v>408</v>
      </c>
      <c r="P64" s="24">
        <v>24</v>
      </c>
      <c r="Q64" s="25">
        <f>+C64*P64</f>
        <v>408</v>
      </c>
    </row>
    <row r="65" spans="1:17" ht="12.75">
      <c r="A65" s="38" t="s">
        <v>68</v>
      </c>
      <c r="B65" s="17" t="s">
        <v>31</v>
      </c>
      <c r="C65" s="24">
        <v>12</v>
      </c>
      <c r="D65" s="24">
        <f>0.1*40</f>
        <v>4</v>
      </c>
      <c r="E65" s="24">
        <f>D65*C65</f>
        <v>48</v>
      </c>
      <c r="F65" s="24">
        <f>0.1*40</f>
        <v>4</v>
      </c>
      <c r="G65" s="24">
        <f>C65*F65</f>
        <v>48</v>
      </c>
      <c r="H65" s="24">
        <f>0.1*40</f>
        <v>4</v>
      </c>
      <c r="I65" s="24">
        <f>H65*$C$65</f>
        <v>48</v>
      </c>
      <c r="J65" s="24">
        <f>0.1*40</f>
        <v>4</v>
      </c>
      <c r="K65" s="24">
        <f>J65*$C$65</f>
        <v>48</v>
      </c>
      <c r="L65" s="24">
        <f>0.1*40</f>
        <v>4</v>
      </c>
      <c r="M65" s="24">
        <f>L65*$C$65</f>
        <v>48</v>
      </c>
      <c r="N65" s="24">
        <f>0.1*40</f>
        <v>4</v>
      </c>
      <c r="O65" s="25">
        <f>N65*$C$65</f>
        <v>48</v>
      </c>
      <c r="P65" s="24">
        <f>0.1*40</f>
        <v>4</v>
      </c>
      <c r="Q65" s="25">
        <f>P65*$C$65</f>
        <v>48</v>
      </c>
    </row>
    <row r="66" spans="1:17" ht="12.75">
      <c r="A66" s="39" t="s">
        <v>69</v>
      </c>
      <c r="B66" s="17"/>
      <c r="C66" s="17"/>
      <c r="D66" s="17"/>
      <c r="E66" s="18"/>
      <c r="F66" s="17"/>
      <c r="G66" s="18"/>
      <c r="H66" s="17"/>
      <c r="I66" s="18"/>
      <c r="J66" s="17"/>
      <c r="K66" s="18"/>
      <c r="L66" s="17"/>
      <c r="M66" s="18"/>
      <c r="N66" s="17"/>
      <c r="O66" s="47"/>
      <c r="P66" s="17"/>
      <c r="Q66" s="47"/>
    </row>
    <row r="67" spans="1:17" ht="12.75">
      <c r="A67" s="38" t="s">
        <v>70</v>
      </c>
      <c r="B67" s="17" t="s">
        <v>71</v>
      </c>
      <c r="C67" s="17">
        <v>0.1</v>
      </c>
      <c r="D67" s="21">
        <v>23000</v>
      </c>
      <c r="E67" s="21">
        <f>+D67*C67</f>
        <v>2300</v>
      </c>
      <c r="F67" s="17"/>
      <c r="G67" s="18"/>
      <c r="H67" s="17"/>
      <c r="I67" s="18"/>
      <c r="J67" s="17"/>
      <c r="K67" s="18"/>
      <c r="L67" s="17"/>
      <c r="M67" s="18"/>
      <c r="N67" s="17"/>
      <c r="O67" s="47"/>
      <c r="P67" s="17"/>
      <c r="Q67" s="47"/>
    </row>
    <row r="68" spans="1:17" ht="12.75">
      <c r="A68" s="38" t="s">
        <v>72</v>
      </c>
      <c r="B68" s="17" t="s">
        <v>73</v>
      </c>
      <c r="C68" s="17">
        <v>10</v>
      </c>
      <c r="D68" s="21">
        <v>115</v>
      </c>
      <c r="E68" s="21">
        <f>+D68*C68</f>
        <v>1150</v>
      </c>
      <c r="F68" s="17"/>
      <c r="G68" s="18"/>
      <c r="H68" s="17"/>
      <c r="I68" s="18"/>
      <c r="J68" s="17"/>
      <c r="K68" s="18"/>
      <c r="L68" s="17"/>
      <c r="M68" s="18"/>
      <c r="N68" s="17"/>
      <c r="O68" s="47"/>
      <c r="P68" s="17"/>
      <c r="Q68" s="47"/>
    </row>
    <row r="69" spans="1:17" ht="12.75">
      <c r="A69" s="38" t="s">
        <v>74</v>
      </c>
      <c r="B69" s="17" t="s">
        <v>71</v>
      </c>
      <c r="C69" s="17">
        <v>0.01</v>
      </c>
      <c r="D69" s="21">
        <v>2300</v>
      </c>
      <c r="E69" s="21">
        <f>+D69*C69</f>
        <v>23</v>
      </c>
      <c r="F69" s="17"/>
      <c r="G69" s="18"/>
      <c r="H69" s="17"/>
      <c r="I69" s="18"/>
      <c r="J69" s="17"/>
      <c r="K69" s="18"/>
      <c r="L69" s="17"/>
      <c r="M69" s="18"/>
      <c r="N69" s="17"/>
      <c r="O69" s="47"/>
      <c r="P69" s="17"/>
      <c r="Q69" s="18"/>
    </row>
    <row r="70" spans="1:17" ht="12.75">
      <c r="A70" s="38" t="s">
        <v>75</v>
      </c>
      <c r="B70" s="17" t="s">
        <v>31</v>
      </c>
      <c r="C70" s="17">
        <v>12</v>
      </c>
      <c r="D70" s="18">
        <f>(1*D68)/60</f>
        <v>1.9166666666666667</v>
      </c>
      <c r="E70" s="18">
        <f>+D70*C70</f>
        <v>23</v>
      </c>
      <c r="F70" s="17"/>
      <c r="G70" s="18"/>
      <c r="H70" s="18"/>
      <c r="I70" s="18"/>
      <c r="J70" s="18"/>
      <c r="K70" s="18"/>
      <c r="L70" s="18"/>
      <c r="M70" s="18"/>
      <c r="N70" s="18"/>
      <c r="O70" s="47"/>
      <c r="P70" s="18"/>
      <c r="Q70" s="18"/>
    </row>
    <row r="71" spans="1:17" ht="12.75">
      <c r="A71" s="38" t="s">
        <v>76</v>
      </c>
      <c r="B71" s="17" t="s">
        <v>31</v>
      </c>
      <c r="C71" s="24">
        <v>12</v>
      </c>
      <c r="D71" s="17"/>
      <c r="E71" s="17"/>
      <c r="F71" s="17"/>
      <c r="G71" s="18"/>
      <c r="H71" s="18">
        <f>1.1*H73</f>
        <v>1.0010000000000001</v>
      </c>
      <c r="I71" s="18">
        <f>$C$71*H71</f>
        <v>12.012</v>
      </c>
      <c r="J71" s="18">
        <f>1.1*J73</f>
        <v>1.0010000000000001</v>
      </c>
      <c r="K71" s="18">
        <f>$C$71*J71</f>
        <v>12.012</v>
      </c>
      <c r="L71" s="18">
        <f>1.1*L73</f>
        <v>1.0010000000000001</v>
      </c>
      <c r="M71" s="18">
        <f>$C$71*L71</f>
        <v>12.012</v>
      </c>
      <c r="N71" s="18">
        <f>1.1*N73</f>
        <v>1.0010000000000001</v>
      </c>
      <c r="O71" s="47">
        <f>$C$71*N71</f>
        <v>12.012</v>
      </c>
      <c r="P71" s="18">
        <f>1.1*P73</f>
        <v>1.0010000000000001</v>
      </c>
      <c r="Q71" s="18">
        <f>$C$71*P71</f>
        <v>12.012</v>
      </c>
    </row>
    <row r="72" spans="1:17" ht="12.75">
      <c r="A72" s="38" t="s">
        <v>41</v>
      </c>
      <c r="B72" s="17" t="s">
        <v>31</v>
      </c>
      <c r="C72" s="17">
        <v>12</v>
      </c>
      <c r="D72" s="18">
        <f>1.1*D73</f>
        <v>1.0010000000000001</v>
      </c>
      <c r="E72" s="18">
        <f>$C$72*D72</f>
        <v>12.012</v>
      </c>
      <c r="F72" s="17"/>
      <c r="G72" s="18"/>
      <c r="H72" s="18">
        <f>1.1*H73</f>
        <v>1.0010000000000001</v>
      </c>
      <c r="I72" s="18">
        <f>$C$72*H72</f>
        <v>12.012</v>
      </c>
      <c r="J72" s="18">
        <f>1.1*J73</f>
        <v>1.0010000000000001</v>
      </c>
      <c r="K72" s="18">
        <f>$C$72*J72</f>
        <v>12.012</v>
      </c>
      <c r="L72" s="18">
        <f>1.1*L73</f>
        <v>1.0010000000000001</v>
      </c>
      <c r="M72" s="18">
        <f>$C$72*L72</f>
        <v>12.012</v>
      </c>
      <c r="N72" s="18">
        <f>1.1*N73</f>
        <v>1.0010000000000001</v>
      </c>
      <c r="O72" s="47">
        <f>$C$72*N72</f>
        <v>12.012</v>
      </c>
      <c r="P72" s="18">
        <f>1.1*P73</f>
        <v>1.0010000000000001</v>
      </c>
      <c r="Q72" s="18">
        <f>$C$72*P72</f>
        <v>12.012</v>
      </c>
    </row>
    <row r="73" spans="1:17" ht="12.75">
      <c r="A73" s="50" t="s">
        <v>32</v>
      </c>
      <c r="B73" s="17" t="s">
        <v>31</v>
      </c>
      <c r="C73" s="28">
        <f>+C49</f>
        <v>14</v>
      </c>
      <c r="D73" s="51">
        <v>0.91</v>
      </c>
      <c r="E73" s="51">
        <f>$C$73*D73</f>
        <v>12.74</v>
      </c>
      <c r="F73" s="17"/>
      <c r="G73" s="47"/>
      <c r="H73" s="47">
        <v>0.91</v>
      </c>
      <c r="I73" s="52">
        <f>$C$73*H73</f>
        <v>12.74</v>
      </c>
      <c r="J73" s="53">
        <v>0.91</v>
      </c>
      <c r="K73" s="53">
        <f>$C$73*J73</f>
        <v>12.74</v>
      </c>
      <c r="L73" s="18">
        <v>0.91</v>
      </c>
      <c r="M73" s="47">
        <f>$C$73*L73</f>
        <v>12.74</v>
      </c>
      <c r="N73" s="47">
        <v>0.91</v>
      </c>
      <c r="O73" s="52">
        <f>$C$73*N73</f>
        <v>12.74</v>
      </c>
      <c r="P73" s="18">
        <v>0.91</v>
      </c>
      <c r="Q73" s="18">
        <f>$C$73*P73</f>
        <v>12.74</v>
      </c>
    </row>
    <row r="74" spans="1:17" ht="12.75">
      <c r="A74" s="3" t="s">
        <v>77</v>
      </c>
      <c r="B74" s="17" t="s">
        <v>28</v>
      </c>
      <c r="C74" s="31">
        <v>5</v>
      </c>
      <c r="D74" s="26"/>
      <c r="E74" s="26"/>
      <c r="F74" s="24"/>
      <c r="G74" s="25"/>
      <c r="H74" s="25">
        <v>1</v>
      </c>
      <c r="I74" s="31">
        <f>$C$74*H74</f>
        <v>5</v>
      </c>
      <c r="J74" s="26">
        <v>1</v>
      </c>
      <c r="K74" s="26">
        <f>$C$74*J74</f>
        <v>5</v>
      </c>
      <c r="L74" s="24">
        <v>1</v>
      </c>
      <c r="M74" s="25">
        <f>$C$74*L74</f>
        <v>5</v>
      </c>
      <c r="N74" s="25">
        <v>1</v>
      </c>
      <c r="O74" s="31">
        <f>$C$74*N74</f>
        <v>5</v>
      </c>
      <c r="P74" s="24">
        <v>1</v>
      </c>
      <c r="Q74" s="24">
        <f>$C$74*P74</f>
        <v>5</v>
      </c>
    </row>
    <row r="75" spans="1:17" ht="12.75">
      <c r="A75" s="54" t="s">
        <v>78</v>
      </c>
      <c r="B75" s="55"/>
      <c r="C75" s="56"/>
      <c r="D75" s="57"/>
      <c r="E75" s="58">
        <f>+SUM(E18:E74)</f>
        <v>9282.350000000002</v>
      </c>
      <c r="F75" s="59"/>
      <c r="G75" s="60">
        <f>+SUM(G18:G74)</f>
        <v>1660.348</v>
      </c>
      <c r="H75" s="60"/>
      <c r="I75" s="61">
        <f>+SUM(I18:I74)</f>
        <v>1705.962</v>
      </c>
      <c r="J75" s="58"/>
      <c r="K75" s="58">
        <f>+SUM(K18:K74)</f>
        <v>1705.962</v>
      </c>
      <c r="L75" s="59"/>
      <c r="M75" s="60">
        <f>+SUM(M18:M74)</f>
        <v>1705.962</v>
      </c>
      <c r="N75" s="60"/>
      <c r="O75" s="61">
        <f>+SUM(O18:O74)</f>
        <v>1705.962</v>
      </c>
      <c r="P75" s="59"/>
      <c r="Q75" s="59">
        <f>+SUM(Q18:Q74)</f>
        <v>1705.962</v>
      </c>
    </row>
    <row r="76" spans="1:17" ht="12.75">
      <c r="A76" s="139" t="s">
        <v>79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1"/>
    </row>
    <row r="77" spans="1:17" ht="12.75">
      <c r="A77" s="1"/>
      <c r="B77" s="2"/>
      <c r="C77" s="2"/>
      <c r="D77" s="136" t="s">
        <v>4</v>
      </c>
      <c r="E77" s="142"/>
      <c r="F77" s="136" t="s">
        <v>5</v>
      </c>
      <c r="G77" s="142"/>
      <c r="H77" s="143" t="s">
        <v>6</v>
      </c>
      <c r="I77" s="142"/>
      <c r="J77" s="143" t="s">
        <v>7</v>
      </c>
      <c r="K77" s="142"/>
      <c r="L77" s="143" t="s">
        <v>8</v>
      </c>
      <c r="M77" s="142"/>
      <c r="N77" s="136" t="s">
        <v>9</v>
      </c>
      <c r="O77" s="142"/>
      <c r="P77" s="136" t="s">
        <v>10</v>
      </c>
      <c r="Q77" s="142"/>
    </row>
    <row r="78" spans="1:17" ht="12.75">
      <c r="A78" s="3" t="s">
        <v>11</v>
      </c>
      <c r="B78" s="4"/>
      <c r="C78" s="4" t="s">
        <v>12</v>
      </c>
      <c r="D78" s="2" t="s">
        <v>13</v>
      </c>
      <c r="E78" s="5"/>
      <c r="F78" s="2" t="s">
        <v>13</v>
      </c>
      <c r="G78" s="2"/>
      <c r="H78" s="2" t="s">
        <v>13</v>
      </c>
      <c r="I78" s="2"/>
      <c r="J78" s="2" t="s">
        <v>13</v>
      </c>
      <c r="K78" s="2"/>
      <c r="L78" s="2" t="s">
        <v>13</v>
      </c>
      <c r="M78" s="2"/>
      <c r="N78" s="2" t="s">
        <v>13</v>
      </c>
      <c r="O78" s="2"/>
      <c r="P78" s="2" t="s">
        <v>13</v>
      </c>
      <c r="Q78" s="2"/>
    </row>
    <row r="79" spans="1:17" ht="12.75">
      <c r="A79" s="6"/>
      <c r="B79" s="7" t="s">
        <v>14</v>
      </c>
      <c r="C79" s="7" t="s">
        <v>14</v>
      </c>
      <c r="D79" s="7" t="s">
        <v>15</v>
      </c>
      <c r="E79" s="7" t="s">
        <v>16</v>
      </c>
      <c r="F79" s="7" t="s">
        <v>15</v>
      </c>
      <c r="G79" s="7" t="s">
        <v>16</v>
      </c>
      <c r="H79" s="7" t="s">
        <v>15</v>
      </c>
      <c r="I79" s="7" t="s">
        <v>16</v>
      </c>
      <c r="J79" s="7" t="s">
        <v>15</v>
      </c>
      <c r="K79" s="7" t="s">
        <v>16</v>
      </c>
      <c r="L79" s="7" t="s">
        <v>15</v>
      </c>
      <c r="M79" s="7" t="s">
        <v>16</v>
      </c>
      <c r="N79" s="7" t="s">
        <v>15</v>
      </c>
      <c r="O79" s="7" t="s">
        <v>16</v>
      </c>
      <c r="P79" s="7" t="s">
        <v>15</v>
      </c>
      <c r="Q79" s="7" t="s">
        <v>16</v>
      </c>
    </row>
    <row r="80" spans="1:17" ht="12.75">
      <c r="A80" s="62" t="s">
        <v>80</v>
      </c>
      <c r="B80" s="9"/>
      <c r="C80" s="41"/>
      <c r="D80" s="63"/>
      <c r="E80" s="10"/>
      <c r="F80" s="64"/>
      <c r="G80" s="10"/>
      <c r="H80" s="9"/>
      <c r="I80" s="10"/>
      <c r="J80" s="9"/>
      <c r="K80" s="46"/>
      <c r="L80" s="9"/>
      <c r="M80" s="9"/>
      <c r="N80" s="9"/>
      <c r="O80" s="9"/>
      <c r="P80" s="9"/>
      <c r="Q80" s="41"/>
    </row>
    <row r="81" spans="1:17" ht="12.75">
      <c r="A81" s="65" t="s">
        <v>81</v>
      </c>
      <c r="B81" s="17" t="s">
        <v>20</v>
      </c>
      <c r="C81" s="18">
        <v>0.45</v>
      </c>
      <c r="D81" s="19"/>
      <c r="E81" s="18"/>
      <c r="F81" s="41"/>
      <c r="G81" s="18"/>
      <c r="H81" s="21">
        <f>+H11</f>
        <v>7260</v>
      </c>
      <c r="I81" s="21">
        <f>H81*$C$81</f>
        <v>3267</v>
      </c>
      <c r="J81" s="21">
        <f>+J11</f>
        <v>10164</v>
      </c>
      <c r="K81" s="37">
        <f>J81*$C$81</f>
        <v>4573.8</v>
      </c>
      <c r="L81" s="21">
        <f>+L11</f>
        <v>11616</v>
      </c>
      <c r="M81" s="37">
        <f>L81*$C$81</f>
        <v>5227.2</v>
      </c>
      <c r="N81" s="21">
        <f>+N11</f>
        <v>13068</v>
      </c>
      <c r="O81" s="37">
        <f>N81*$C$81</f>
        <v>5880.6</v>
      </c>
      <c r="P81" s="21">
        <f>P11</f>
        <v>14520</v>
      </c>
      <c r="Q81" s="66">
        <f>P81*$C$81</f>
        <v>6534</v>
      </c>
    </row>
    <row r="82" spans="1:17" ht="12.75">
      <c r="A82" s="38" t="s">
        <v>82</v>
      </c>
      <c r="B82" s="17"/>
      <c r="C82" s="18"/>
      <c r="D82" s="17"/>
      <c r="E82" s="18"/>
      <c r="F82" s="41"/>
      <c r="G82" s="18"/>
      <c r="H82" s="21"/>
      <c r="I82" s="18"/>
      <c r="J82" s="21"/>
      <c r="K82" s="18"/>
      <c r="L82" s="21"/>
      <c r="M82" s="18"/>
      <c r="N82" s="21"/>
      <c r="O82" s="18"/>
      <c r="P82" s="21"/>
      <c r="Q82" s="47"/>
    </row>
    <row r="83" spans="1:17" ht="12.75">
      <c r="A83" s="38" t="s">
        <v>83</v>
      </c>
      <c r="B83" s="17" t="s">
        <v>20</v>
      </c>
      <c r="C83" s="18">
        <v>0.107</v>
      </c>
      <c r="D83" s="19"/>
      <c r="E83" s="19"/>
      <c r="F83" s="67"/>
      <c r="G83" s="18"/>
      <c r="H83" s="21">
        <f>+H86</f>
        <v>7260</v>
      </c>
      <c r="I83" s="18">
        <f>$C$83*H83</f>
        <v>776.8199999999999</v>
      </c>
      <c r="J83" s="21">
        <f>+J86</f>
        <v>10164</v>
      </c>
      <c r="K83" s="37">
        <f>$C$83*J83</f>
        <v>1087.548</v>
      </c>
      <c r="L83" s="21">
        <f>+L86</f>
        <v>11616</v>
      </c>
      <c r="M83" s="37">
        <f>$C$83*L83</f>
        <v>1242.912</v>
      </c>
      <c r="N83" s="21">
        <f>+N86</f>
        <v>13068</v>
      </c>
      <c r="O83" s="37">
        <f>$C$83*N83</f>
        <v>1398.276</v>
      </c>
      <c r="P83" s="21">
        <f>+P86</f>
        <v>14520</v>
      </c>
      <c r="Q83" s="66">
        <f>$C$83*P83</f>
        <v>1553.6399999999999</v>
      </c>
    </row>
    <row r="84" spans="1:17" ht="12.75">
      <c r="A84" s="38" t="s">
        <v>84</v>
      </c>
      <c r="B84" s="18"/>
      <c r="C84" s="17"/>
      <c r="D84" s="67"/>
      <c r="E84" s="18"/>
      <c r="F84" s="17"/>
      <c r="G84" s="18"/>
      <c r="H84" s="21"/>
      <c r="I84" s="18"/>
      <c r="J84" s="21"/>
      <c r="K84" s="18"/>
      <c r="L84" s="21"/>
      <c r="M84" s="18"/>
      <c r="N84" s="21"/>
      <c r="O84" s="18"/>
      <c r="P84" s="21"/>
      <c r="Q84" s="47"/>
    </row>
    <row r="85" spans="1:17" ht="12.75">
      <c r="A85" s="38" t="s">
        <v>85</v>
      </c>
      <c r="B85" s="18"/>
      <c r="C85" s="17"/>
      <c r="D85" s="17"/>
      <c r="E85" s="18"/>
      <c r="F85" s="17"/>
      <c r="G85" s="18"/>
      <c r="H85" s="21"/>
      <c r="I85" s="18"/>
      <c r="J85" s="21"/>
      <c r="K85" s="18"/>
      <c r="L85" s="21"/>
      <c r="M85" s="18"/>
      <c r="N85" s="21"/>
      <c r="O85" s="18"/>
      <c r="P85" s="21"/>
      <c r="Q85" s="47"/>
    </row>
    <row r="86" spans="1:17" ht="12.75">
      <c r="A86" s="38" t="s">
        <v>86</v>
      </c>
      <c r="B86" s="17" t="s">
        <v>20</v>
      </c>
      <c r="C86" s="68">
        <f>0.09/11.5</f>
        <v>0.007826086956521738</v>
      </c>
      <c r="D86" s="17"/>
      <c r="E86" s="18"/>
      <c r="F86" s="17"/>
      <c r="G86" s="18"/>
      <c r="H86" s="21">
        <f>+H11</f>
        <v>7260</v>
      </c>
      <c r="I86" s="18">
        <f>H86*$C$86</f>
        <v>56.817391304347815</v>
      </c>
      <c r="J86" s="21">
        <f>+J11</f>
        <v>10164</v>
      </c>
      <c r="K86" s="18">
        <f>J86*$C$86</f>
        <v>79.54434782608695</v>
      </c>
      <c r="L86" s="21">
        <f>+L11</f>
        <v>11616</v>
      </c>
      <c r="M86" s="18">
        <f>L86*$C$86</f>
        <v>90.9078260869565</v>
      </c>
      <c r="N86" s="21">
        <f>+N11</f>
        <v>13068</v>
      </c>
      <c r="O86" s="18">
        <f>N86*$C$86</f>
        <v>102.27130434782607</v>
      </c>
      <c r="P86" s="21">
        <f>P11</f>
        <v>14520</v>
      </c>
      <c r="Q86" s="47">
        <f>P86*$C$86</f>
        <v>113.63478260869563</v>
      </c>
    </row>
    <row r="87" spans="1:17" ht="12.75">
      <c r="A87" s="38" t="s">
        <v>87</v>
      </c>
      <c r="B87" s="17" t="s">
        <v>20</v>
      </c>
      <c r="C87" s="68">
        <v>0.05</v>
      </c>
      <c r="D87" s="17"/>
      <c r="E87" s="18"/>
      <c r="F87" s="17"/>
      <c r="G87" s="18"/>
      <c r="H87" s="21">
        <f>+H11</f>
        <v>7260</v>
      </c>
      <c r="I87" s="24">
        <f>H87*$C$87</f>
        <v>363</v>
      </c>
      <c r="J87" s="21">
        <f>+J11</f>
        <v>10164</v>
      </c>
      <c r="K87" s="18">
        <f>J87*$C$87</f>
        <v>508.20000000000005</v>
      </c>
      <c r="L87" s="21">
        <f>L11</f>
        <v>11616</v>
      </c>
      <c r="M87" s="18">
        <f>L87*$C$87</f>
        <v>580.8000000000001</v>
      </c>
      <c r="N87" s="21">
        <f>N11</f>
        <v>13068</v>
      </c>
      <c r="O87" s="18">
        <f>N87*$C$87</f>
        <v>653.4000000000001</v>
      </c>
      <c r="P87" s="21">
        <f>P11</f>
        <v>14520</v>
      </c>
      <c r="Q87" s="25">
        <f>P87*$C$87</f>
        <v>726</v>
      </c>
    </row>
    <row r="88" spans="1:17" ht="12.75">
      <c r="A88" s="38" t="s">
        <v>41</v>
      </c>
      <c r="B88" s="17" t="s">
        <v>31</v>
      </c>
      <c r="C88" s="24">
        <v>12</v>
      </c>
      <c r="D88" s="24"/>
      <c r="E88" s="24"/>
      <c r="F88" s="24"/>
      <c r="G88" s="24"/>
      <c r="H88" s="24">
        <v>1</v>
      </c>
      <c r="I88" s="24">
        <f>H88*$C$88</f>
        <v>12</v>
      </c>
      <c r="J88" s="24">
        <v>1</v>
      </c>
      <c r="K88" s="24">
        <f>J88*$C$88</f>
        <v>12</v>
      </c>
      <c r="L88" s="24">
        <v>1</v>
      </c>
      <c r="M88" s="24">
        <f>L88*$C$88</f>
        <v>12</v>
      </c>
      <c r="N88" s="24">
        <v>1</v>
      </c>
      <c r="O88" s="24">
        <f>N88*$C$88</f>
        <v>12</v>
      </c>
      <c r="P88" s="24">
        <v>1</v>
      </c>
      <c r="Q88" s="25">
        <f>P88*$C$88</f>
        <v>12</v>
      </c>
    </row>
    <row r="89" spans="1:17" ht="12.75">
      <c r="A89" s="50" t="s">
        <v>32</v>
      </c>
      <c r="B89" s="17" t="s">
        <v>31</v>
      </c>
      <c r="C89" s="17">
        <f>+C73</f>
        <v>14</v>
      </c>
      <c r="D89" s="17"/>
      <c r="E89" s="18"/>
      <c r="F89" s="17"/>
      <c r="G89" s="18"/>
      <c r="H89" s="17">
        <v>0.5</v>
      </c>
      <c r="I89" s="24">
        <f>$C$89*H89</f>
        <v>7</v>
      </c>
      <c r="J89" s="17">
        <v>0.5</v>
      </c>
      <c r="K89" s="24">
        <f>$C$89*J89</f>
        <v>7</v>
      </c>
      <c r="L89" s="17">
        <v>0.5</v>
      </c>
      <c r="M89" s="24">
        <f>$C$89*L89</f>
        <v>7</v>
      </c>
      <c r="N89" s="17">
        <v>0.5</v>
      </c>
      <c r="O89" s="24">
        <f>$C$89*N89</f>
        <v>7</v>
      </c>
      <c r="P89" s="17">
        <v>0.5</v>
      </c>
      <c r="Q89" s="25">
        <f>$C$89*P89</f>
        <v>7</v>
      </c>
    </row>
    <row r="90" spans="1:17" ht="12.75">
      <c r="A90" s="69" t="s">
        <v>88</v>
      </c>
      <c r="B90" s="6"/>
      <c r="C90" s="6"/>
      <c r="D90" s="6"/>
      <c r="E90" s="70"/>
      <c r="F90" s="6"/>
      <c r="G90" s="70"/>
      <c r="H90" s="6"/>
      <c r="I90" s="35">
        <f>SUM(I80:I89)</f>
        <v>4482.637391304347</v>
      </c>
      <c r="J90" s="35"/>
      <c r="K90" s="35">
        <f>SUM(K80:K89)</f>
        <v>6268.092347826087</v>
      </c>
      <c r="L90" s="35"/>
      <c r="M90" s="35">
        <f>SUM(M80:M89)</f>
        <v>7160.819826086957</v>
      </c>
      <c r="N90" s="35"/>
      <c r="O90" s="35">
        <f>SUM(O80:O89)</f>
        <v>8053.547304347827</v>
      </c>
      <c r="P90" s="35"/>
      <c r="Q90" s="35">
        <f>SUM(Q80:Q89)</f>
        <v>8946.274782608694</v>
      </c>
    </row>
    <row r="91" spans="1:17" ht="12.75">
      <c r="A91" s="136" t="s">
        <v>89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8"/>
    </row>
    <row r="92" spans="1:17" ht="12.75">
      <c r="A92" s="71" t="s">
        <v>90</v>
      </c>
      <c r="B92" s="71" t="s">
        <v>28</v>
      </c>
      <c r="C92" s="72"/>
      <c r="D92" s="71"/>
      <c r="E92" s="71"/>
      <c r="F92" s="71"/>
      <c r="G92" s="73">
        <f>0.085*E107</f>
        <v>966.3547893750002</v>
      </c>
      <c r="H92" s="71"/>
      <c r="I92" s="73">
        <f>0.085*(-G106)+G92</f>
        <v>1343.7870961218753</v>
      </c>
      <c r="J92" s="73"/>
      <c r="K92" s="73">
        <f>0.085*(-I106)+I92</f>
        <v>1492.1845477781042</v>
      </c>
      <c r="L92" s="73"/>
      <c r="M92" s="73">
        <f>0.085*(-K106)+K92</f>
        <v>1547.1066416294602</v>
      </c>
      <c r="N92" s="73"/>
      <c r="O92" s="73">
        <f>0.085*(-M106)+M92</f>
        <v>1553.7854616103555</v>
      </c>
      <c r="P92" s="71"/>
      <c r="Q92" s="74"/>
    </row>
    <row r="93" spans="1:17" ht="12.75">
      <c r="A93" s="71" t="s">
        <v>91</v>
      </c>
      <c r="B93" s="71" t="s">
        <v>28</v>
      </c>
      <c r="C93" s="72"/>
      <c r="D93" s="71"/>
      <c r="E93" s="71">
        <f>173+8</f>
        <v>181</v>
      </c>
      <c r="F93" s="71"/>
      <c r="G93" s="71">
        <f>200+27</f>
        <v>227</v>
      </c>
      <c r="H93" s="71"/>
      <c r="I93" s="71">
        <f>208+33</f>
        <v>241</v>
      </c>
      <c r="J93" s="71"/>
      <c r="K93" s="73">
        <f>217+39</f>
        <v>256</v>
      </c>
      <c r="L93" s="73"/>
      <c r="M93" s="73">
        <f>222+43</f>
        <v>265</v>
      </c>
      <c r="N93" s="71"/>
      <c r="O93" s="73">
        <f>220+41</f>
        <v>261</v>
      </c>
      <c r="P93" s="71"/>
      <c r="Q93" s="75">
        <f>247+61</f>
        <v>308</v>
      </c>
    </row>
    <row r="94" spans="1:17" ht="12.75">
      <c r="A94" s="71" t="s">
        <v>92</v>
      </c>
      <c r="B94" s="71" t="s">
        <v>28</v>
      </c>
      <c r="C94" s="72"/>
      <c r="D94" s="71"/>
      <c r="E94" s="71">
        <v>75</v>
      </c>
      <c r="F94" s="71"/>
      <c r="G94" s="71">
        <v>78</v>
      </c>
      <c r="H94" s="71"/>
      <c r="I94" s="71">
        <v>84</v>
      </c>
      <c r="J94" s="71"/>
      <c r="K94" s="73">
        <f>+I94</f>
        <v>84</v>
      </c>
      <c r="L94" s="73"/>
      <c r="M94" s="73">
        <f>+K94</f>
        <v>84</v>
      </c>
      <c r="N94" s="71"/>
      <c r="O94" s="73">
        <f>+M94</f>
        <v>84</v>
      </c>
      <c r="P94" s="71"/>
      <c r="Q94" s="75">
        <f>+O94</f>
        <v>84</v>
      </c>
    </row>
    <row r="95" spans="1:17" ht="12.75">
      <c r="A95" s="71" t="s">
        <v>93</v>
      </c>
      <c r="B95" s="71" t="s">
        <v>28</v>
      </c>
      <c r="C95" s="72"/>
      <c r="D95" s="71"/>
      <c r="E95" s="71">
        <v>180</v>
      </c>
      <c r="F95" s="71"/>
      <c r="G95" s="71">
        <f>+E95</f>
        <v>180</v>
      </c>
      <c r="H95" s="71"/>
      <c r="I95" s="71">
        <f>+G95</f>
        <v>180</v>
      </c>
      <c r="J95" s="71"/>
      <c r="K95" s="73">
        <f>+I95</f>
        <v>180</v>
      </c>
      <c r="L95" s="73"/>
      <c r="M95" s="73">
        <f>+K95</f>
        <v>180</v>
      </c>
      <c r="N95" s="71"/>
      <c r="O95" s="73">
        <f>+M95</f>
        <v>180</v>
      </c>
      <c r="P95" s="71"/>
      <c r="Q95" s="75">
        <f>+O95</f>
        <v>180</v>
      </c>
    </row>
    <row r="96" spans="1:17" ht="12.75">
      <c r="A96" s="17" t="s">
        <v>94</v>
      </c>
      <c r="B96" s="17"/>
      <c r="C96" s="17"/>
      <c r="D96" s="17"/>
      <c r="E96" s="18">
        <f>+((E75+E93+E94+E95)*0.085)/2</f>
        <v>413.0298750000001</v>
      </c>
      <c r="F96" s="18"/>
      <c r="G96" s="18">
        <f>+((G75+G93+G94+G95)*0.085)/2</f>
        <v>91.17729</v>
      </c>
      <c r="H96" s="18"/>
      <c r="I96" s="18">
        <f>+((I75+I93+I94+I95)*0.085)/2</f>
        <v>93.965885</v>
      </c>
      <c r="J96" s="18"/>
      <c r="K96" s="18">
        <f>+((K75+K93+K94+K95)*0.085)/2</f>
        <v>94.603385</v>
      </c>
      <c r="L96" s="18"/>
      <c r="M96" s="18">
        <f>+((M75+M93+M94+M95)*0.085)/2</f>
        <v>94.98588500000001</v>
      </c>
      <c r="N96" s="18"/>
      <c r="O96" s="18">
        <f>+((O75+O93+O94+O95)*0.085)/2</f>
        <v>94.81588500000001</v>
      </c>
      <c r="P96" s="18"/>
      <c r="Q96" s="18">
        <f>+((Q75+Q93+Q94+Q95)*0.085)/2</f>
        <v>96.81338500000001</v>
      </c>
    </row>
    <row r="97" spans="1:17" ht="12.75">
      <c r="A97" s="35" t="s">
        <v>95</v>
      </c>
      <c r="B97" s="35"/>
      <c r="C97" s="35"/>
      <c r="D97" s="35"/>
      <c r="E97" s="35">
        <f>SUM(E92:E96)</f>
        <v>849.0298750000002</v>
      </c>
      <c r="F97" s="35"/>
      <c r="G97" s="35">
        <f>SUM(G92:G96)</f>
        <v>1542.5320793750002</v>
      </c>
      <c r="H97" s="35"/>
      <c r="I97" s="35">
        <f>SUM(I92:I96)</f>
        <v>1942.7529811218753</v>
      </c>
      <c r="J97" s="35"/>
      <c r="K97" s="35">
        <f>SUM(K92:K96)</f>
        <v>2106.7879327781043</v>
      </c>
      <c r="L97" s="35"/>
      <c r="M97" s="35">
        <f>SUM(M92:M96)</f>
        <v>2171.0925266294603</v>
      </c>
      <c r="N97" s="35"/>
      <c r="O97" s="35">
        <f>SUM(O92:O96)</f>
        <v>2173.6013466103554</v>
      </c>
      <c r="P97" s="35"/>
      <c r="Q97" s="35">
        <f>SUM(Q92:Q96)</f>
        <v>668.813385</v>
      </c>
    </row>
    <row r="98" spans="1:17" ht="12.75">
      <c r="A98" s="136" t="s">
        <v>96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8"/>
    </row>
    <row r="99" spans="1:17" ht="12.75">
      <c r="A99" s="71" t="s">
        <v>97</v>
      </c>
      <c r="B99" s="71" t="s">
        <v>28</v>
      </c>
      <c r="C99" s="72"/>
      <c r="D99" s="71"/>
      <c r="E99" s="76">
        <f>0.6*((25000+30000)/2)*0.065</f>
        <v>1072.5</v>
      </c>
      <c r="F99" s="76"/>
      <c r="G99" s="76">
        <f>0.6*((25000+30000)/2)*0.065</f>
        <v>1072.5</v>
      </c>
      <c r="H99" s="76"/>
      <c r="I99" s="76">
        <f>0.6*((25000+30000)/2)*0.065</f>
        <v>1072.5</v>
      </c>
      <c r="J99" s="76"/>
      <c r="K99" s="76">
        <f>0.6*((25000+30000)/2)*0.065</f>
        <v>1072.5</v>
      </c>
      <c r="L99" s="76"/>
      <c r="M99" s="76">
        <f>0.6*((25000+30000)/2)*0.065</f>
        <v>1072.5</v>
      </c>
      <c r="N99" s="76"/>
      <c r="O99" s="76">
        <f>0.6*((25000+30000)/2)*0.065</f>
        <v>1072.5</v>
      </c>
      <c r="P99" s="76"/>
      <c r="Q99" s="77">
        <f>0.6*((25000+30000)/2)*0.065</f>
        <v>1072.5</v>
      </c>
    </row>
    <row r="100" spans="1:17" ht="12.75">
      <c r="A100" s="71" t="s">
        <v>98</v>
      </c>
      <c r="B100" s="71" t="s">
        <v>28</v>
      </c>
      <c r="C100" s="72"/>
      <c r="D100" s="71"/>
      <c r="E100" s="78">
        <v>78</v>
      </c>
      <c r="F100" s="78"/>
      <c r="G100" s="78">
        <f>+E100</f>
        <v>78</v>
      </c>
      <c r="H100" s="78"/>
      <c r="I100" s="78">
        <f>+G100</f>
        <v>78</v>
      </c>
      <c r="J100" s="78"/>
      <c r="K100" s="78">
        <f>+I100</f>
        <v>78</v>
      </c>
      <c r="L100" s="78"/>
      <c r="M100" s="78">
        <f>+K100</f>
        <v>78</v>
      </c>
      <c r="N100" s="78"/>
      <c r="O100" s="78">
        <f>+M100</f>
        <v>78</v>
      </c>
      <c r="P100" s="78"/>
      <c r="Q100" s="79">
        <f>+O100</f>
        <v>78</v>
      </c>
    </row>
    <row r="101" spans="1:17" ht="12.75">
      <c r="A101" s="71" t="s">
        <v>99</v>
      </c>
      <c r="B101" s="71" t="s">
        <v>28</v>
      </c>
      <c r="C101" s="72"/>
      <c r="D101" s="71"/>
      <c r="E101" s="78">
        <v>67</v>
      </c>
      <c r="F101" s="78"/>
      <c r="G101" s="78">
        <f>+E101</f>
        <v>67</v>
      </c>
      <c r="H101" s="78"/>
      <c r="I101" s="78">
        <f>+G101</f>
        <v>67</v>
      </c>
      <c r="J101" s="78"/>
      <c r="K101" s="78">
        <f>+I101</f>
        <v>67</v>
      </c>
      <c r="L101" s="78"/>
      <c r="M101" s="78">
        <f>+K101</f>
        <v>67</v>
      </c>
      <c r="N101" s="78"/>
      <c r="O101" s="78">
        <f>+M101</f>
        <v>67</v>
      </c>
      <c r="P101" s="78"/>
      <c r="Q101" s="79">
        <f>+O101</f>
        <v>67</v>
      </c>
    </row>
    <row r="102" spans="1:17" ht="12.75">
      <c r="A102" s="71" t="s">
        <v>100</v>
      </c>
      <c r="B102" s="71" t="s">
        <v>28</v>
      </c>
      <c r="C102" s="72"/>
      <c r="D102" s="71"/>
      <c r="E102" s="78">
        <v>20</v>
      </c>
      <c r="F102" s="78"/>
      <c r="G102" s="78">
        <f>+E102</f>
        <v>20</v>
      </c>
      <c r="H102" s="78"/>
      <c r="I102" s="78">
        <f>+G102</f>
        <v>20</v>
      </c>
      <c r="J102" s="78"/>
      <c r="K102" s="78">
        <f>+I102</f>
        <v>20</v>
      </c>
      <c r="L102" s="78"/>
      <c r="M102" s="78">
        <f>+K102</f>
        <v>20</v>
      </c>
      <c r="N102" s="78"/>
      <c r="O102" s="78">
        <f>+M102</f>
        <v>20</v>
      </c>
      <c r="P102" s="78"/>
      <c r="Q102" s="79">
        <f>+O102</f>
        <v>20</v>
      </c>
    </row>
    <row r="103" spans="1:17" ht="12.75">
      <c r="A103" s="71" t="s">
        <v>101</v>
      </c>
      <c r="B103" s="71" t="s">
        <v>28</v>
      </c>
      <c r="C103" s="72"/>
      <c r="D103" s="80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9">
        <f>+O107*(0.0726+0.0806)/2</f>
        <v>1358.0444342087285</v>
      </c>
    </row>
    <row r="104" spans="1:17" ht="12.75">
      <c r="A104" s="80" t="s">
        <v>102</v>
      </c>
      <c r="B104" s="80"/>
      <c r="C104" s="81"/>
      <c r="D104" s="80"/>
      <c r="E104" s="82">
        <f>SUM(E99:E103)</f>
        <v>1237.5</v>
      </c>
      <c r="F104" s="82"/>
      <c r="G104" s="82">
        <f>SUM(G99:G103)</f>
        <v>1237.5</v>
      </c>
      <c r="H104" s="82"/>
      <c r="I104" s="82">
        <f>SUM(I99:I103)</f>
        <v>1237.5</v>
      </c>
      <c r="J104" s="82"/>
      <c r="K104" s="82">
        <f>SUM(K99:K103)</f>
        <v>1237.5</v>
      </c>
      <c r="L104" s="82"/>
      <c r="M104" s="82">
        <f>SUM(M99:M103)</f>
        <v>1237.5</v>
      </c>
      <c r="N104" s="82"/>
      <c r="O104" s="82">
        <f>SUM(O99:O103)</f>
        <v>1237.5</v>
      </c>
      <c r="P104" s="82"/>
      <c r="Q104" s="82">
        <f>SUM(Q99:Q103)</f>
        <v>2595.5444342087285</v>
      </c>
    </row>
    <row r="105" spans="1:17" ht="12.75">
      <c r="A105" s="83" t="s">
        <v>103</v>
      </c>
      <c r="B105" s="83"/>
      <c r="C105" s="84"/>
      <c r="D105" s="84"/>
      <c r="E105" s="84">
        <f>+E75+E97+E90+E104</f>
        <v>11368.879875000002</v>
      </c>
      <c r="F105" s="84"/>
      <c r="G105" s="84">
        <f>+G75+G97+G90+G104</f>
        <v>4440.380079375</v>
      </c>
      <c r="H105" s="84"/>
      <c r="I105" s="84">
        <f>+I75+I97+I90+I104</f>
        <v>9368.852372426223</v>
      </c>
      <c r="J105" s="84"/>
      <c r="K105" s="84">
        <f>+K75+K97+K90+K104</f>
        <v>11318.34228060419</v>
      </c>
      <c r="L105" s="84"/>
      <c r="M105" s="84">
        <f>+M75+M97+M90+M104</f>
        <v>12275.374352716417</v>
      </c>
      <c r="N105" s="84"/>
      <c r="O105" s="84">
        <f>+O75+O97+O90+O104</f>
        <v>13170.610650958182</v>
      </c>
      <c r="P105" s="84"/>
      <c r="Q105" s="84">
        <f>+Q75+Q97+Q90+Q104</f>
        <v>13916.594601817422</v>
      </c>
    </row>
    <row r="106" spans="1:17" ht="12.75">
      <c r="A106" s="3" t="s">
        <v>104</v>
      </c>
      <c r="B106" s="3"/>
      <c r="C106" s="34"/>
      <c r="D106" s="34"/>
      <c r="E106" s="34">
        <f>+E15-E105</f>
        <v>-11368.879875000002</v>
      </c>
      <c r="F106" s="34"/>
      <c r="G106" s="34">
        <f>+G15-G105</f>
        <v>-4440.380079375</v>
      </c>
      <c r="H106" s="34"/>
      <c r="I106" s="34">
        <f>+I15-I105</f>
        <v>-1745.8523724262232</v>
      </c>
      <c r="J106" s="34"/>
      <c r="K106" s="34">
        <f>+K15-K105</f>
        <v>-646.1422806041901</v>
      </c>
      <c r="L106" s="34"/>
      <c r="M106" s="34">
        <f>+M15-M105</f>
        <v>-78.57435271641589</v>
      </c>
      <c r="N106" s="34"/>
      <c r="O106" s="34">
        <f>+O15-O105</f>
        <v>550.7893490418192</v>
      </c>
      <c r="P106" s="34"/>
      <c r="Q106" s="85">
        <f>+Q15-Q105</f>
        <v>1329.4053981825782</v>
      </c>
    </row>
    <row r="107" spans="1:17" ht="12.75">
      <c r="A107" s="6" t="s">
        <v>105</v>
      </c>
      <c r="B107" s="6"/>
      <c r="C107" s="35"/>
      <c r="D107" s="35"/>
      <c r="E107" s="35">
        <f>+-(D106+E106)</f>
        <v>11368.879875000002</v>
      </c>
      <c r="F107" s="35"/>
      <c r="G107" s="35">
        <f>+-(E106+G106)</f>
        <v>15809.259954375002</v>
      </c>
      <c r="H107" s="35"/>
      <c r="I107" s="35">
        <f>+-(E106+G106+I106)</f>
        <v>17555.112326801223</v>
      </c>
      <c r="J107" s="35"/>
      <c r="K107" s="35">
        <f>+-(E106+G106+I106+K106)</f>
        <v>18201.25460740541</v>
      </c>
      <c r="L107" s="35"/>
      <c r="M107" s="35">
        <f>+K107-M106</f>
        <v>18279.828960121828</v>
      </c>
      <c r="N107" s="35"/>
      <c r="O107" s="35">
        <f>+-(E106+G106+I106+K106+M106+O106)</f>
        <v>17729.039611080007</v>
      </c>
      <c r="P107" s="35"/>
      <c r="Q107" s="86"/>
    </row>
  </sheetData>
  <mergeCells count="31">
    <mergeCell ref="A1:Q1"/>
    <mergeCell ref="A2:Q2"/>
    <mergeCell ref="A3:Q3"/>
    <mergeCell ref="A4:Q4"/>
    <mergeCell ref="L5:M5"/>
    <mergeCell ref="N5:O5"/>
    <mergeCell ref="P5:Q5"/>
    <mergeCell ref="A9:Q10"/>
    <mergeCell ref="D5:E5"/>
    <mergeCell ref="F5:G5"/>
    <mergeCell ref="H5:I5"/>
    <mergeCell ref="J5:K5"/>
    <mergeCell ref="A16:Q17"/>
    <mergeCell ref="A42:Q42"/>
    <mergeCell ref="D43:E43"/>
    <mergeCell ref="F43:G43"/>
    <mergeCell ref="H43:I43"/>
    <mergeCell ref="J43:K43"/>
    <mergeCell ref="L43:M43"/>
    <mergeCell ref="N43:O43"/>
    <mergeCell ref="P43:Q43"/>
    <mergeCell ref="A91:Q91"/>
    <mergeCell ref="A98:Q98"/>
    <mergeCell ref="A76:Q76"/>
    <mergeCell ref="D77:E77"/>
    <mergeCell ref="F77:G77"/>
    <mergeCell ref="H77:I77"/>
    <mergeCell ref="J77:K77"/>
    <mergeCell ref="L77:M77"/>
    <mergeCell ref="N77:O77"/>
    <mergeCell ref="P77:Q7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E1">
      <selection activeCell="I13" sqref="I13"/>
    </sheetView>
  </sheetViews>
  <sheetFormatPr defaultColWidth="9.140625" defaultRowHeight="12.75"/>
  <cols>
    <col min="1" max="1" width="21.140625" style="0" customWidth="1"/>
  </cols>
  <sheetData>
    <row r="1" spans="1:9" ht="12.75">
      <c r="A1" s="158" t="s">
        <v>106</v>
      </c>
      <c r="B1" s="158"/>
      <c r="C1" s="158"/>
      <c r="D1" s="158"/>
      <c r="E1" s="158"/>
      <c r="F1" s="158"/>
      <c r="G1" s="158"/>
      <c r="H1" s="158"/>
      <c r="I1" s="158"/>
    </row>
    <row r="3" spans="1:9" ht="12.75">
      <c r="A3" s="87" t="s">
        <v>107</v>
      </c>
      <c r="B3" s="88"/>
      <c r="C3" s="88">
        <v>1</v>
      </c>
      <c r="D3" s="88">
        <v>2</v>
      </c>
      <c r="E3" s="88">
        <v>3</v>
      </c>
      <c r="F3" s="88">
        <v>4</v>
      </c>
      <c r="G3" s="88">
        <v>5</v>
      </c>
      <c r="H3" s="88">
        <v>6</v>
      </c>
      <c r="I3" s="89" t="s">
        <v>108</v>
      </c>
    </row>
    <row r="4" spans="1:9" ht="12.75">
      <c r="A4" s="90" t="s">
        <v>109</v>
      </c>
      <c r="B4" s="91"/>
      <c r="C4" s="92"/>
      <c r="D4" s="92"/>
      <c r="E4" s="92">
        <f>'Blue estab &amp; prod.costs'!H8</f>
        <v>5</v>
      </c>
      <c r="F4" s="92">
        <f>'Blue estab &amp; prod.costs'!J8</f>
        <v>7</v>
      </c>
      <c r="G4" s="92">
        <f>'Blue estab &amp; prod.costs'!L8</f>
        <v>8</v>
      </c>
      <c r="H4" s="92">
        <f>'Blue estab &amp; prod.costs'!N8</f>
        <v>9</v>
      </c>
      <c r="I4" s="93">
        <f>'Blue estab &amp; prod.costs'!P8</f>
        <v>10</v>
      </c>
    </row>
    <row r="5" spans="1:9" ht="12.75">
      <c r="A5" s="90" t="s">
        <v>110</v>
      </c>
      <c r="B5" s="91"/>
      <c r="C5" s="92"/>
      <c r="D5" s="92"/>
      <c r="E5" s="92">
        <f>'Blue estab &amp; prod.costs'!H11</f>
        <v>7260</v>
      </c>
      <c r="F5" s="92">
        <f>'Blue estab &amp; prod.costs'!J11</f>
        <v>10164</v>
      </c>
      <c r="G5" s="92">
        <f>'Blue estab &amp; prod.costs'!L11</f>
        <v>11616</v>
      </c>
      <c r="H5" s="92">
        <f>'Blue estab &amp; prod.costs'!N11</f>
        <v>13068</v>
      </c>
      <c r="I5" s="93">
        <f>'Blue estab &amp; prod.costs'!P11</f>
        <v>14520</v>
      </c>
    </row>
    <row r="6" spans="1:9" ht="12.75">
      <c r="A6" s="90" t="s">
        <v>111</v>
      </c>
      <c r="B6" s="94">
        <f>'Blue estab &amp; prod.costs'!C11</f>
        <v>1.05</v>
      </c>
      <c r="C6" s="92"/>
      <c r="D6" s="92"/>
      <c r="E6" s="92"/>
      <c r="F6" s="92"/>
      <c r="G6" s="92"/>
      <c r="H6" s="92"/>
      <c r="I6" s="93"/>
    </row>
    <row r="7" spans="1:9" ht="12.75">
      <c r="A7" s="90" t="s">
        <v>112</v>
      </c>
      <c r="B7" s="91"/>
      <c r="C7" s="92"/>
      <c r="D7" s="92"/>
      <c r="E7" s="92">
        <f>E5*$B$6</f>
        <v>7623</v>
      </c>
      <c r="F7" s="92">
        <f>F5*$B$6</f>
        <v>10672.2</v>
      </c>
      <c r="G7" s="92">
        <f>G5*$B$6</f>
        <v>12196.800000000001</v>
      </c>
      <c r="H7" s="92">
        <f>H5*$B$6</f>
        <v>13721.400000000001</v>
      </c>
      <c r="I7" s="93">
        <f>I5*$B$6</f>
        <v>15246</v>
      </c>
    </row>
    <row r="8" spans="1:9" ht="12.75">
      <c r="A8" s="90" t="s">
        <v>113</v>
      </c>
      <c r="B8" s="91"/>
      <c r="C8" s="121">
        <f>'Blue estab &amp; prod.costs'!$E$75</f>
        <v>9282.350000000002</v>
      </c>
      <c r="D8" s="92">
        <f>'Blue estab &amp; prod.costs'!$G$75</f>
        <v>1660.348</v>
      </c>
      <c r="E8" s="92">
        <f>'Blue estab &amp; prod.costs'!$I$75</f>
        <v>1705.962</v>
      </c>
      <c r="F8" s="92">
        <f>'Blue estab &amp; prod.costs'!K75</f>
        <v>1705.962</v>
      </c>
      <c r="G8" s="92">
        <f>'Blue estab &amp; prod.costs'!M75</f>
        <v>1705.962</v>
      </c>
      <c r="H8" s="92">
        <f>'Blue estab &amp; prod.costs'!O75</f>
        <v>1705.962</v>
      </c>
      <c r="I8" s="93">
        <f>'Blue estab &amp; prod.costs'!Q75</f>
        <v>1705.962</v>
      </c>
    </row>
    <row r="9" spans="1:9" ht="12.75">
      <c r="A9" s="90" t="s">
        <v>80</v>
      </c>
      <c r="B9" s="91"/>
      <c r="C9" s="92"/>
      <c r="D9" s="92"/>
      <c r="E9" s="92">
        <f>'Blue estab &amp; prod.costs'!I90</f>
        <v>4482.637391304347</v>
      </c>
      <c r="F9" s="92">
        <f>'Blue estab &amp; prod.costs'!K90</f>
        <v>6268.092347826087</v>
      </c>
      <c r="G9" s="92">
        <f>'Blue estab &amp; prod.costs'!M90</f>
        <v>7160.819826086957</v>
      </c>
      <c r="H9" s="92">
        <f>'Blue estab &amp; prod.costs'!O90</f>
        <v>8053.547304347827</v>
      </c>
      <c r="I9" s="93">
        <f>'Blue estab &amp; prod.costs'!Q90</f>
        <v>8946.274782608694</v>
      </c>
    </row>
    <row r="10" spans="1:9" ht="12.75">
      <c r="A10" s="90" t="s">
        <v>114</v>
      </c>
      <c r="B10" s="91"/>
      <c r="C10" s="92">
        <f>'Blue estab &amp; prod.costs'!E97</f>
        <v>849.0298750000002</v>
      </c>
      <c r="D10" s="92">
        <f>'Blue estab &amp; prod.costs'!G97</f>
        <v>1542.5320793750002</v>
      </c>
      <c r="E10" s="92">
        <f>'Blue estab &amp; prod.costs'!I97</f>
        <v>1942.7529811218753</v>
      </c>
      <c r="F10" s="92">
        <f>'Blue estab &amp; prod.costs'!K97</f>
        <v>2106.7879327781043</v>
      </c>
      <c r="G10" s="92">
        <f>'Blue estab &amp; prod.costs'!M97</f>
        <v>2171.0925266294603</v>
      </c>
      <c r="H10" s="92">
        <f>'Blue estab &amp; prod.costs'!O97</f>
        <v>2173.6013466103554</v>
      </c>
      <c r="I10" s="93">
        <f>'Blue estab &amp; prod.costs'!Q97</f>
        <v>668.813385</v>
      </c>
    </row>
    <row r="11" spans="1:9" ht="12.75">
      <c r="A11" s="90" t="s">
        <v>115</v>
      </c>
      <c r="B11" s="91"/>
      <c r="C11" s="92">
        <f>'Blue estab &amp; prod.costs'!E104</f>
        <v>1237.5</v>
      </c>
      <c r="D11" s="92">
        <f>'Blue estab &amp; prod.costs'!G104</f>
        <v>1237.5</v>
      </c>
      <c r="E11" s="92">
        <f>'Blue estab &amp; prod.costs'!I104</f>
        <v>1237.5</v>
      </c>
      <c r="F11" s="92">
        <f>'Blue estab &amp; prod.costs'!K104</f>
        <v>1237.5</v>
      </c>
      <c r="G11" s="92">
        <f>'Blue estab &amp; prod.costs'!M104</f>
        <v>1237.5</v>
      </c>
      <c r="H11" s="92">
        <f>'Blue estab &amp; prod.costs'!O104</f>
        <v>1237.5</v>
      </c>
      <c r="I11" s="93">
        <f>'Blue estab &amp; prod.costs'!Q104</f>
        <v>2595.5444342087285</v>
      </c>
    </row>
    <row r="12" spans="1:9" ht="12.75">
      <c r="A12" s="90" t="s">
        <v>116</v>
      </c>
      <c r="B12" s="91"/>
      <c r="C12" s="92">
        <f aca="true" t="shared" si="0" ref="C12:I12">SUM(C8:C11)</f>
        <v>11368.879875000002</v>
      </c>
      <c r="D12" s="92">
        <f t="shared" si="0"/>
        <v>4440.380079375</v>
      </c>
      <c r="E12" s="92">
        <f t="shared" si="0"/>
        <v>9368.852372426223</v>
      </c>
      <c r="F12" s="92">
        <f t="shared" si="0"/>
        <v>11318.34228060419</v>
      </c>
      <c r="G12" s="92">
        <f t="shared" si="0"/>
        <v>12275.374352716417</v>
      </c>
      <c r="H12" s="92">
        <f t="shared" si="0"/>
        <v>13170.610650958182</v>
      </c>
      <c r="I12" s="93">
        <f t="shared" si="0"/>
        <v>13916.594601817422</v>
      </c>
    </row>
    <row r="13" spans="1:9" ht="12.75">
      <c r="A13" s="90" t="s">
        <v>117</v>
      </c>
      <c r="B13" s="91"/>
      <c r="C13" s="92">
        <f aca="true" t="shared" si="1" ref="C13:I13">+C7-C12</f>
        <v>-11368.879875000002</v>
      </c>
      <c r="D13" s="92">
        <f t="shared" si="1"/>
        <v>-4440.380079375</v>
      </c>
      <c r="E13" s="92">
        <f t="shared" si="1"/>
        <v>-1745.8523724262232</v>
      </c>
      <c r="F13" s="92">
        <f t="shared" si="1"/>
        <v>-646.1422806041901</v>
      </c>
      <c r="G13" s="92">
        <f t="shared" si="1"/>
        <v>-78.57435271641589</v>
      </c>
      <c r="H13" s="92">
        <f t="shared" si="1"/>
        <v>550.7893490418192</v>
      </c>
      <c r="I13" s="93">
        <f t="shared" si="1"/>
        <v>1329.4053981825782</v>
      </c>
    </row>
    <row r="14" spans="1:9" ht="12.75">
      <c r="A14" s="95" t="s">
        <v>118</v>
      </c>
      <c r="B14" s="96"/>
      <c r="C14" s="97">
        <f>-(C13+B13)</f>
        <v>11368.879875000002</v>
      </c>
      <c r="D14" s="97">
        <f>-(B13+C13+D13)</f>
        <v>15809.259954375002</v>
      </c>
      <c r="E14" s="97">
        <f>-(B13+C13+D13+E13)</f>
        <v>17555.112326801223</v>
      </c>
      <c r="F14" s="97">
        <f>-(B13+C13+D13+E13+F13)</f>
        <v>18201.25460740541</v>
      </c>
      <c r="G14" s="97">
        <f>-(B13+C13+D13+E13+F13+G13)</f>
        <v>18279.828960121828</v>
      </c>
      <c r="H14" s="97">
        <f>-(B13+C13+D13+E13+F13+G13+H13)</f>
        <v>17729.039611080007</v>
      </c>
      <c r="I14" s="98"/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43">
      <selection activeCell="M59" sqref="M59"/>
    </sheetView>
  </sheetViews>
  <sheetFormatPr defaultColWidth="9.140625" defaultRowHeight="12.75"/>
  <cols>
    <col min="1" max="1" width="34.8515625" style="0" customWidth="1"/>
  </cols>
  <sheetData>
    <row r="1" spans="1:10" ht="15.75">
      <c r="A1" s="159" t="s">
        <v>123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.7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2.75">
      <c r="A3" s="100" t="s">
        <v>124</v>
      </c>
      <c r="B3" s="125">
        <v>6</v>
      </c>
      <c r="C3" s="125">
        <v>7</v>
      </c>
      <c r="D3" s="126">
        <v>8</v>
      </c>
      <c r="E3" s="126">
        <v>9</v>
      </c>
      <c r="F3" s="126">
        <v>10</v>
      </c>
      <c r="G3" s="126">
        <v>11</v>
      </c>
      <c r="H3" s="126">
        <v>12</v>
      </c>
      <c r="I3" s="126">
        <v>13</v>
      </c>
      <c r="J3" s="126">
        <v>14</v>
      </c>
    </row>
    <row r="4" spans="1:10" ht="12.75">
      <c r="A4" s="102" t="s">
        <v>125</v>
      </c>
      <c r="B4" s="127">
        <f>1452*B3</f>
        <v>8712</v>
      </c>
      <c r="C4" s="127">
        <f aca="true" t="shared" si="0" ref="C4:J4">1452*C3</f>
        <v>10164</v>
      </c>
      <c r="D4" s="128">
        <f t="shared" si="0"/>
        <v>11616</v>
      </c>
      <c r="E4" s="128">
        <f t="shared" si="0"/>
        <v>13068</v>
      </c>
      <c r="F4" s="128">
        <f t="shared" si="0"/>
        <v>14520</v>
      </c>
      <c r="G4" s="128">
        <f t="shared" si="0"/>
        <v>15972</v>
      </c>
      <c r="H4" s="128">
        <f t="shared" si="0"/>
        <v>17424</v>
      </c>
      <c r="I4" s="128">
        <f t="shared" si="0"/>
        <v>18876</v>
      </c>
      <c r="J4" s="128">
        <f t="shared" si="0"/>
        <v>20328</v>
      </c>
    </row>
    <row r="5" spans="1:10" ht="12.75">
      <c r="A5" s="103"/>
      <c r="B5" s="160"/>
      <c r="C5" s="160"/>
      <c r="D5" s="161"/>
      <c r="E5" s="161"/>
      <c r="F5" s="161"/>
      <c r="G5" s="161"/>
      <c r="H5" s="161"/>
      <c r="I5" s="161"/>
      <c r="J5" s="161"/>
    </row>
    <row r="6" spans="1:10" ht="12.75">
      <c r="A6" s="105" t="s">
        <v>126</v>
      </c>
      <c r="B6" s="105"/>
      <c r="C6" s="105"/>
      <c r="D6" s="104"/>
      <c r="E6" s="104"/>
      <c r="F6" s="104"/>
      <c r="G6" s="104"/>
      <c r="H6" s="104"/>
      <c r="I6" s="104"/>
      <c r="J6" s="104"/>
    </row>
    <row r="7" spans="1:10" ht="12.75">
      <c r="A7" s="103"/>
      <c r="B7" s="103"/>
      <c r="C7" s="124"/>
      <c r="D7" s="104"/>
      <c r="E7" s="106"/>
      <c r="F7" s="106"/>
      <c r="G7" s="107"/>
      <c r="H7" s="107"/>
      <c r="I7" s="107"/>
      <c r="J7" s="107"/>
    </row>
    <row r="8" spans="1:3" ht="12.75">
      <c r="A8" s="101" t="s">
        <v>127</v>
      </c>
      <c r="B8" s="101"/>
      <c r="C8" s="101"/>
    </row>
    <row r="9" spans="1:10" ht="12.75">
      <c r="A9" s="108" t="s">
        <v>128</v>
      </c>
      <c r="B9" s="128">
        <f>'Blue estab &amp; prod.costs'!Q75</f>
        <v>1705.962</v>
      </c>
      <c r="C9" s="128">
        <f>+B9</f>
        <v>1705.962</v>
      </c>
      <c r="D9" s="128">
        <f aca="true" t="shared" si="1" ref="D9:J9">+C9</f>
        <v>1705.962</v>
      </c>
      <c r="E9" s="128">
        <f t="shared" si="1"/>
        <v>1705.962</v>
      </c>
      <c r="F9" s="128">
        <f t="shared" si="1"/>
        <v>1705.962</v>
      </c>
      <c r="G9" s="128">
        <f t="shared" si="1"/>
        <v>1705.962</v>
      </c>
      <c r="H9" s="128">
        <f t="shared" si="1"/>
        <v>1705.962</v>
      </c>
      <c r="I9" s="128">
        <f t="shared" si="1"/>
        <v>1705.962</v>
      </c>
      <c r="J9" s="128">
        <f t="shared" si="1"/>
        <v>1705.962</v>
      </c>
    </row>
    <row r="10" spans="1:10" ht="12.75">
      <c r="A10" s="108" t="s">
        <v>129</v>
      </c>
      <c r="B10" s="128">
        <f>+(+'Blue estab &amp; prod.costs'!$C$83*B4)+('Blue estab &amp; prod.costs'!$C$81*B4)+('Blue estab &amp; prod.costs'!$C$86*B4)+('Blue estab &amp; prod.costs'!$C$87)*B4</f>
        <v>5356.364869565217</v>
      </c>
      <c r="C10" s="128">
        <f>+(+'Blue estab &amp; prod.costs'!$C$83+'Blue estab &amp; prod.costs'!$C$81+'Blue estab &amp; prod.costs'!$C$86+'Blue estab &amp; prod.costs'!$C$87)*C4</f>
        <v>6249.092347826088</v>
      </c>
      <c r="D10" s="128">
        <f>+(+'Blue estab &amp; prod.costs'!$C$83+'Blue estab &amp; prod.costs'!$C$81+'Blue estab &amp; prod.costs'!$C$86+'Blue estab &amp; prod.costs'!$C$87)*D4</f>
        <v>7141.819826086958</v>
      </c>
      <c r="E10" s="128">
        <f>+(+'Blue estab &amp; prod.costs'!$C$83+'Blue estab &amp; prod.costs'!$C$81+'Blue estab &amp; prod.costs'!$C$86+'Blue estab &amp; prod.costs'!$C$87)*E4</f>
        <v>8034.547304347828</v>
      </c>
      <c r="F10" s="128">
        <f>+(+'Blue estab &amp; prod.costs'!$C$83+'Blue estab &amp; prod.costs'!$C$81+'Blue estab &amp; prod.costs'!$C$86+'Blue estab &amp; prod.costs'!$C$87)*F4</f>
        <v>8927.274782608698</v>
      </c>
      <c r="G10" s="128">
        <f>+(+'Blue estab &amp; prod.costs'!$C$83+'Blue estab &amp; prod.costs'!$C$81+'Blue estab &amp; prod.costs'!$C$86+'Blue estab &amp; prod.costs'!$C$87)*G4</f>
        <v>9820.002260869567</v>
      </c>
      <c r="H10" s="128">
        <f>+(+'Blue estab &amp; prod.costs'!$C$83+'Blue estab &amp; prod.costs'!$C$81+'Blue estab &amp; prod.costs'!$C$86+'Blue estab &amp; prod.costs'!$C$87)*H4</f>
        <v>10712.729739130436</v>
      </c>
      <c r="I10" s="128">
        <f>+(+'Blue estab &amp; prod.costs'!$C$83+'Blue estab &amp; prod.costs'!$C$81+'Blue estab &amp; prod.costs'!$C$86+'Blue estab &amp; prod.costs'!$C$87)*I4</f>
        <v>11605.457217391306</v>
      </c>
      <c r="J10" s="128">
        <f>+(+'Blue estab &amp; prod.costs'!$C$83+'Blue estab &amp; prod.costs'!$C$81+'Blue estab &amp; prod.costs'!$C$86+'Blue estab &amp; prod.costs'!$C$87)*J4</f>
        <v>12498.184695652177</v>
      </c>
    </row>
    <row r="11" spans="1:10" ht="12.75">
      <c r="A11" s="109" t="s">
        <v>130</v>
      </c>
      <c r="B11" s="128">
        <f>'Blue estab &amp; prod.costs'!Q88+'Blue estab &amp; prod.costs'!Q89</f>
        <v>19</v>
      </c>
      <c r="C11" s="128">
        <f>+B11</f>
        <v>19</v>
      </c>
      <c r="D11" s="128">
        <f aca="true" t="shared" si="2" ref="D11:J11">+C11</f>
        <v>19</v>
      </c>
      <c r="E11" s="128">
        <f t="shared" si="2"/>
        <v>19</v>
      </c>
      <c r="F11" s="128">
        <f t="shared" si="2"/>
        <v>19</v>
      </c>
      <c r="G11" s="128">
        <f t="shared" si="2"/>
        <v>19</v>
      </c>
      <c r="H11" s="128">
        <f t="shared" si="2"/>
        <v>19</v>
      </c>
      <c r="I11" s="128">
        <f t="shared" si="2"/>
        <v>19</v>
      </c>
      <c r="J11" s="128">
        <f t="shared" si="2"/>
        <v>19</v>
      </c>
    </row>
    <row r="12" spans="1:10" ht="12.75">
      <c r="A12" s="110"/>
      <c r="B12" s="129"/>
      <c r="C12" s="129"/>
      <c r="D12" s="130"/>
      <c r="E12" s="130"/>
      <c r="F12" s="130"/>
      <c r="G12" s="130"/>
      <c r="H12" s="130"/>
      <c r="I12" s="130"/>
      <c r="J12" s="130"/>
    </row>
    <row r="13" spans="1:10" ht="12.75">
      <c r="A13" s="108" t="s">
        <v>131</v>
      </c>
      <c r="B13" s="128">
        <f>SUM(B9:B12)</f>
        <v>7081.326869565217</v>
      </c>
      <c r="C13" s="128">
        <f aca="true" t="shared" si="3" ref="C13:J13">SUM(C9:C12)</f>
        <v>7974.054347826088</v>
      </c>
      <c r="D13" s="128">
        <f t="shared" si="3"/>
        <v>8866.781826086957</v>
      </c>
      <c r="E13" s="128">
        <f t="shared" si="3"/>
        <v>9759.509304347828</v>
      </c>
      <c r="F13" s="128">
        <f t="shared" si="3"/>
        <v>10652.236782608697</v>
      </c>
      <c r="G13" s="128">
        <f t="shared" si="3"/>
        <v>11544.964260869567</v>
      </c>
      <c r="H13" s="128">
        <f t="shared" si="3"/>
        <v>12437.691739130436</v>
      </c>
      <c r="I13" s="128">
        <f t="shared" si="3"/>
        <v>13330.419217391305</v>
      </c>
      <c r="J13" s="128">
        <f t="shared" si="3"/>
        <v>14223.146695652176</v>
      </c>
    </row>
    <row r="14" spans="1:10" ht="12.75">
      <c r="A14" s="108" t="s">
        <v>132</v>
      </c>
      <c r="B14" s="131">
        <f>B13/B4</f>
        <v>0.812824479977642</v>
      </c>
      <c r="C14" s="131">
        <f aca="true" t="shared" si="4" ref="C14:J14">C13/C4</f>
        <v>0.7845389952603392</v>
      </c>
      <c r="D14" s="131">
        <f t="shared" si="4"/>
        <v>0.763324881722362</v>
      </c>
      <c r="E14" s="131">
        <f t="shared" si="4"/>
        <v>0.7468250156372688</v>
      </c>
      <c r="F14" s="131">
        <f t="shared" si="4"/>
        <v>0.733625122769194</v>
      </c>
      <c r="G14" s="131">
        <f t="shared" si="4"/>
        <v>0.7228252104225874</v>
      </c>
      <c r="H14" s="131">
        <f t="shared" si="4"/>
        <v>0.713825283467082</v>
      </c>
      <c r="I14" s="131">
        <f t="shared" si="4"/>
        <v>0.7062099606585773</v>
      </c>
      <c r="J14" s="131">
        <f t="shared" si="4"/>
        <v>0.6996825411084305</v>
      </c>
    </row>
    <row r="15" spans="1:10" ht="12.75">
      <c r="A15" s="108"/>
      <c r="B15" s="119"/>
      <c r="C15" s="119"/>
      <c r="D15" s="132"/>
      <c r="E15" s="132"/>
      <c r="F15" s="132"/>
      <c r="G15" s="132"/>
      <c r="H15" s="132"/>
      <c r="I15" s="132"/>
      <c r="J15" s="132"/>
    </row>
    <row r="16" spans="1:10" ht="12.75">
      <c r="A16" s="108" t="s">
        <v>133</v>
      </c>
      <c r="B16" s="128">
        <f>+'Blue estab &amp; prod.costs'!Q97</f>
        <v>668.813385</v>
      </c>
      <c r="C16" s="128">
        <f>+B16</f>
        <v>668.813385</v>
      </c>
      <c r="D16" s="128">
        <f aca="true" t="shared" si="5" ref="D16:J16">+C16</f>
        <v>668.813385</v>
      </c>
      <c r="E16" s="128">
        <f t="shared" si="5"/>
        <v>668.813385</v>
      </c>
      <c r="F16" s="128">
        <f t="shared" si="5"/>
        <v>668.813385</v>
      </c>
      <c r="G16" s="128">
        <f t="shared" si="5"/>
        <v>668.813385</v>
      </c>
      <c r="H16" s="128">
        <f t="shared" si="5"/>
        <v>668.813385</v>
      </c>
      <c r="I16" s="128">
        <f t="shared" si="5"/>
        <v>668.813385</v>
      </c>
      <c r="J16" s="128">
        <f t="shared" si="5"/>
        <v>668.813385</v>
      </c>
    </row>
    <row r="17" spans="1:10" ht="12.75">
      <c r="A17" s="108"/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ht="12.75">
      <c r="A18" s="108" t="s">
        <v>134</v>
      </c>
      <c r="B18" s="128">
        <f aca="true" t="shared" si="6" ref="B18:J18">B13+B16</f>
        <v>7750.140254565217</v>
      </c>
      <c r="C18" s="128">
        <f t="shared" si="6"/>
        <v>8642.867732826087</v>
      </c>
      <c r="D18" s="128">
        <f t="shared" si="6"/>
        <v>9535.595211086957</v>
      </c>
      <c r="E18" s="128">
        <f t="shared" si="6"/>
        <v>10428.322689347828</v>
      </c>
      <c r="F18" s="128">
        <f>F13+F16</f>
        <v>11321.050167608697</v>
      </c>
      <c r="G18" s="128">
        <f t="shared" si="6"/>
        <v>12213.777645869566</v>
      </c>
      <c r="H18" s="128">
        <f t="shared" si="6"/>
        <v>13106.505124130435</v>
      </c>
      <c r="I18" s="128">
        <f t="shared" si="6"/>
        <v>13999.232602391305</v>
      </c>
      <c r="J18" s="128">
        <f t="shared" si="6"/>
        <v>14891.960080652176</v>
      </c>
    </row>
    <row r="19" spans="1:10" ht="12.75">
      <c r="A19" s="108" t="s">
        <v>135</v>
      </c>
      <c r="B19" s="133"/>
      <c r="C19" s="133"/>
      <c r="D19" s="133"/>
      <c r="E19" s="133"/>
      <c r="F19" s="133"/>
      <c r="G19" s="133"/>
      <c r="H19" s="133"/>
      <c r="I19" s="133"/>
      <c r="J19" s="133"/>
    </row>
    <row r="20" spans="1:10" ht="12.75">
      <c r="A20" s="112" t="s">
        <v>136</v>
      </c>
      <c r="B20" s="131">
        <f aca="true" t="shared" si="7" ref="B20:J20">+B18/B4</f>
        <v>0.889593693131912</v>
      </c>
      <c r="C20" s="131">
        <f t="shared" si="7"/>
        <v>0.8503411779639991</v>
      </c>
      <c r="D20" s="131">
        <f t="shared" si="7"/>
        <v>0.8209017915880644</v>
      </c>
      <c r="E20" s="131">
        <f t="shared" si="7"/>
        <v>0.7980044910734487</v>
      </c>
      <c r="F20" s="131">
        <f t="shared" si="7"/>
        <v>0.779686650661756</v>
      </c>
      <c r="G20" s="131">
        <f t="shared" si="7"/>
        <v>0.7646993266885529</v>
      </c>
      <c r="H20" s="131">
        <f t="shared" si="7"/>
        <v>0.7522098900442169</v>
      </c>
      <c r="I20" s="131">
        <f t="shared" si="7"/>
        <v>0.7416419051913172</v>
      </c>
      <c r="J20" s="131">
        <f t="shared" si="7"/>
        <v>0.7325836324602605</v>
      </c>
    </row>
    <row r="21" spans="1:10" ht="12.75">
      <c r="A21" s="108"/>
      <c r="B21" s="119"/>
      <c r="C21" s="119"/>
      <c r="D21" s="132"/>
      <c r="E21" s="132"/>
      <c r="F21" s="132"/>
      <c r="G21" s="132"/>
      <c r="H21" s="132"/>
      <c r="I21" s="132"/>
      <c r="J21" s="132"/>
    </row>
    <row r="22" spans="1:10" ht="12.75">
      <c r="A22" s="108" t="s">
        <v>137</v>
      </c>
      <c r="B22" s="128">
        <f>+'Blue estab &amp; prod.costs'!Q104</f>
        <v>2595.5444342087285</v>
      </c>
      <c r="C22" s="128">
        <f>+B22</f>
        <v>2595.5444342087285</v>
      </c>
      <c r="D22" s="128">
        <f aca="true" t="shared" si="8" ref="D22:J22">+C22</f>
        <v>2595.5444342087285</v>
      </c>
      <c r="E22" s="128">
        <f t="shared" si="8"/>
        <v>2595.5444342087285</v>
      </c>
      <c r="F22" s="128">
        <f t="shared" si="8"/>
        <v>2595.5444342087285</v>
      </c>
      <c r="G22" s="128">
        <f t="shared" si="8"/>
        <v>2595.5444342087285</v>
      </c>
      <c r="H22" s="128">
        <f t="shared" si="8"/>
        <v>2595.5444342087285</v>
      </c>
      <c r="I22" s="128">
        <f t="shared" si="8"/>
        <v>2595.5444342087285</v>
      </c>
      <c r="J22" s="128">
        <f t="shared" si="8"/>
        <v>2595.5444342087285</v>
      </c>
    </row>
    <row r="23" spans="1:10" ht="12.75">
      <c r="A23" s="108"/>
      <c r="B23" s="119"/>
      <c r="C23" s="119"/>
      <c r="D23" s="132"/>
      <c r="E23" s="132"/>
      <c r="F23" s="132"/>
      <c r="G23" s="132"/>
      <c r="H23" s="132"/>
      <c r="I23" s="132"/>
      <c r="J23" s="132"/>
    </row>
    <row r="24" spans="1:10" ht="12.75">
      <c r="A24" s="108" t="s">
        <v>138</v>
      </c>
      <c r="B24" s="134">
        <f aca="true" t="shared" si="9" ref="B24:J24">B22+B18</f>
        <v>10345.684688773945</v>
      </c>
      <c r="C24" s="134">
        <f t="shared" si="9"/>
        <v>11238.412167034816</v>
      </c>
      <c r="D24" s="134">
        <f t="shared" si="9"/>
        <v>12131.139645295685</v>
      </c>
      <c r="E24" s="134">
        <f t="shared" si="9"/>
        <v>13023.867123556556</v>
      </c>
      <c r="F24" s="134">
        <f t="shared" si="9"/>
        <v>13916.594601817425</v>
      </c>
      <c r="G24" s="134">
        <f t="shared" si="9"/>
        <v>14809.322080078295</v>
      </c>
      <c r="H24" s="134">
        <f t="shared" si="9"/>
        <v>15702.049558339164</v>
      </c>
      <c r="I24" s="134">
        <f t="shared" si="9"/>
        <v>16594.777036600033</v>
      </c>
      <c r="J24" s="134">
        <f t="shared" si="9"/>
        <v>17487.504514860906</v>
      </c>
    </row>
    <row r="25" spans="1:10" ht="12.75">
      <c r="A25" s="108" t="s">
        <v>139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spans="1:10" ht="12.75">
      <c r="A26" s="113" t="s">
        <v>140</v>
      </c>
      <c r="B26" s="135">
        <f aca="true" t="shared" si="10" ref="B26:J26">+B24/B4</f>
        <v>1.1875211993542176</v>
      </c>
      <c r="C26" s="135">
        <f t="shared" si="10"/>
        <v>1.1057076118688327</v>
      </c>
      <c r="D26" s="135">
        <f t="shared" si="10"/>
        <v>1.0443474212547939</v>
      </c>
      <c r="E26" s="135">
        <f t="shared" si="10"/>
        <v>0.996622828554986</v>
      </c>
      <c r="F26" s="135">
        <f t="shared" si="10"/>
        <v>0.9584431543951395</v>
      </c>
      <c r="G26" s="135">
        <f t="shared" si="10"/>
        <v>0.927205239173447</v>
      </c>
      <c r="H26" s="135">
        <f t="shared" si="10"/>
        <v>0.9011736431553699</v>
      </c>
      <c r="I26" s="135">
        <f t="shared" si="10"/>
        <v>0.8791469080631508</v>
      </c>
      <c r="J26" s="135">
        <f t="shared" si="10"/>
        <v>0.8602668494126774</v>
      </c>
    </row>
    <row r="27" spans="1:10" ht="12.75">
      <c r="A27" s="114"/>
      <c r="B27" s="114"/>
      <c r="C27" s="114"/>
      <c r="D27" s="115"/>
      <c r="E27" s="115"/>
      <c r="F27" s="115"/>
      <c r="G27" s="115"/>
      <c r="H27" s="115"/>
      <c r="I27" s="115"/>
      <c r="J27" s="115"/>
    </row>
    <row r="29" spans="1:10" ht="12.75">
      <c r="A29" s="162" t="s">
        <v>141</v>
      </c>
      <c r="B29" s="162"/>
      <c r="C29" s="162"/>
      <c r="D29" s="162"/>
      <c r="E29" s="162"/>
      <c r="F29" s="162"/>
      <c r="G29" s="162"/>
      <c r="H29" s="162"/>
      <c r="I29" s="162"/>
      <c r="J29" s="162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 t="s">
        <v>142</v>
      </c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7">
        <v>0.9</v>
      </c>
      <c r="B32" s="128">
        <f>(A32*$B$4)-$B$13</f>
        <v>759.4731304347833</v>
      </c>
      <c r="C32" s="128">
        <f>(A32*$C$4)-$C$13</f>
        <v>1173.5456521739125</v>
      </c>
      <c r="D32" s="128">
        <f>(A32*$D$4)-$D$13</f>
        <v>1587.6181739130425</v>
      </c>
      <c r="E32" s="128">
        <f>(A32*$E$4)-$E$13</f>
        <v>2001.6906956521725</v>
      </c>
      <c r="F32" s="128">
        <f>(A32*$F$4)-$F$13</f>
        <v>2415.7632173913025</v>
      </c>
      <c r="G32" s="128">
        <f>(A32*$G$4)-$G$13</f>
        <v>2829.8357391304344</v>
      </c>
      <c r="H32" s="128">
        <f>(A32*$H$4)-$H$13</f>
        <v>3243.9082608695644</v>
      </c>
      <c r="I32" s="128">
        <f>(A32*$I$4)-$I$13</f>
        <v>3657.9807826086962</v>
      </c>
      <c r="J32" s="128">
        <f>(A32*$J$4)-$J$13</f>
        <v>4072.0533043478245</v>
      </c>
    </row>
    <row r="33" spans="1:10" ht="12.75">
      <c r="A33" s="117">
        <v>0.95</v>
      </c>
      <c r="B33" s="128">
        <f aca="true" t="shared" si="11" ref="B33:B38">(A33*$B$4)-$B$13</f>
        <v>1195.0731304347828</v>
      </c>
      <c r="C33" s="128">
        <f aca="true" t="shared" si="12" ref="C33:C38">(A33*$C$4)-$C$13</f>
        <v>1681.7456521739114</v>
      </c>
      <c r="D33" s="128">
        <f aca="true" t="shared" si="13" ref="D33:D38">(A33*$D$4)-$D$13</f>
        <v>2168.4181739130418</v>
      </c>
      <c r="E33" s="128">
        <f aca="true" t="shared" si="14" ref="E33:E38">(A33*$E$4)-$E$13</f>
        <v>2655.0906956521703</v>
      </c>
      <c r="F33" s="128">
        <f aca="true" t="shared" si="15" ref="F33:F38">(A33*$F$4)-$F$13</f>
        <v>3141.7632173913025</v>
      </c>
      <c r="G33" s="128">
        <f aca="true" t="shared" si="16" ref="G33:G38">(A33*$G$4)-$G$13</f>
        <v>3628.435739130433</v>
      </c>
      <c r="H33" s="128">
        <f aca="true" t="shared" si="17" ref="H33:H38">(A33*$H$4)-$H$13</f>
        <v>4115.108260869563</v>
      </c>
      <c r="I33" s="128">
        <f aca="true" t="shared" si="18" ref="I33:I38">(A33*$I$4)-$I$13</f>
        <v>4601.7807826086955</v>
      </c>
      <c r="J33" s="128">
        <f aca="true" t="shared" si="19" ref="J33:J38">(A33*$J$4)-$J$13</f>
        <v>5088.453304347822</v>
      </c>
    </row>
    <row r="34" spans="1:10" ht="12.75">
      <c r="A34" s="117">
        <v>1</v>
      </c>
      <c r="B34" s="128">
        <f t="shared" si="11"/>
        <v>1630.6731304347832</v>
      </c>
      <c r="C34" s="128">
        <f t="shared" si="12"/>
        <v>2189.945652173912</v>
      </c>
      <c r="D34" s="128">
        <f t="shared" si="13"/>
        <v>2749.218173913043</v>
      </c>
      <c r="E34" s="128">
        <f t="shared" si="14"/>
        <v>3308.490695652172</v>
      </c>
      <c r="F34" s="128">
        <f t="shared" si="15"/>
        <v>3867.7632173913025</v>
      </c>
      <c r="G34" s="128">
        <f t="shared" si="16"/>
        <v>4427.035739130433</v>
      </c>
      <c r="H34" s="128">
        <f t="shared" si="17"/>
        <v>4986.308260869564</v>
      </c>
      <c r="I34" s="128">
        <f t="shared" si="18"/>
        <v>5545.580782608695</v>
      </c>
      <c r="J34" s="128">
        <f t="shared" si="19"/>
        <v>6104.853304347824</v>
      </c>
    </row>
    <row r="35" spans="1:10" ht="12.75">
      <c r="A35" s="117">
        <v>1.05</v>
      </c>
      <c r="B35" s="128">
        <f t="shared" si="11"/>
        <v>2066.2731304347835</v>
      </c>
      <c r="C35" s="128">
        <f t="shared" si="12"/>
        <v>2698.145652173913</v>
      </c>
      <c r="D35" s="128">
        <f t="shared" si="13"/>
        <v>3330.018173913044</v>
      </c>
      <c r="E35" s="128">
        <f t="shared" si="14"/>
        <v>3961.8906956521732</v>
      </c>
      <c r="F35" s="128">
        <f t="shared" si="15"/>
        <v>4593.7632173913025</v>
      </c>
      <c r="G35" s="128">
        <f t="shared" si="16"/>
        <v>5225.6357391304355</v>
      </c>
      <c r="H35" s="128">
        <f t="shared" si="17"/>
        <v>5857.508260869565</v>
      </c>
      <c r="I35" s="128">
        <f t="shared" si="18"/>
        <v>6489.380782608694</v>
      </c>
      <c r="J35" s="128">
        <f t="shared" si="19"/>
        <v>7121.253304347825</v>
      </c>
    </row>
    <row r="36" spans="1:10" ht="12.75">
      <c r="A36" s="117">
        <v>1.1</v>
      </c>
      <c r="B36" s="128">
        <f t="shared" si="11"/>
        <v>2501.873130434784</v>
      </c>
      <c r="C36" s="128">
        <f t="shared" si="12"/>
        <v>3206.3456521739135</v>
      </c>
      <c r="D36" s="128">
        <f t="shared" si="13"/>
        <v>3910.818173913043</v>
      </c>
      <c r="E36" s="128">
        <f t="shared" si="14"/>
        <v>4615.290695652173</v>
      </c>
      <c r="F36" s="128">
        <f t="shared" si="15"/>
        <v>5319.763217391304</v>
      </c>
      <c r="G36" s="128">
        <f t="shared" si="16"/>
        <v>6024.235739130434</v>
      </c>
      <c r="H36" s="128">
        <f t="shared" si="17"/>
        <v>6728.7082608695655</v>
      </c>
      <c r="I36" s="128">
        <f t="shared" si="18"/>
        <v>7433.180782608697</v>
      </c>
      <c r="J36" s="128">
        <f t="shared" si="19"/>
        <v>8137.653304347827</v>
      </c>
    </row>
    <row r="37" spans="1:10" ht="12.75">
      <c r="A37" s="117">
        <v>1.15</v>
      </c>
      <c r="B37" s="128">
        <f t="shared" si="11"/>
        <v>2937.4731304347824</v>
      </c>
      <c r="C37" s="128">
        <f t="shared" si="12"/>
        <v>3714.5456521739106</v>
      </c>
      <c r="D37" s="128">
        <f t="shared" si="13"/>
        <v>4491.6181739130425</v>
      </c>
      <c r="E37" s="128">
        <f t="shared" si="14"/>
        <v>5268.690695652171</v>
      </c>
      <c r="F37" s="128">
        <f t="shared" si="15"/>
        <v>6045.7632173913025</v>
      </c>
      <c r="G37" s="128">
        <f t="shared" si="16"/>
        <v>6822.835739130433</v>
      </c>
      <c r="H37" s="128">
        <f t="shared" si="17"/>
        <v>7599.908260869563</v>
      </c>
      <c r="I37" s="128">
        <f t="shared" si="18"/>
        <v>8376.980782608693</v>
      </c>
      <c r="J37" s="128">
        <f t="shared" si="19"/>
        <v>9154.05330434782</v>
      </c>
    </row>
    <row r="38" spans="1:10" ht="12.75">
      <c r="A38" s="117">
        <v>1.2</v>
      </c>
      <c r="B38" s="128">
        <f t="shared" si="11"/>
        <v>3373.073130434783</v>
      </c>
      <c r="C38" s="128">
        <f t="shared" si="12"/>
        <v>4222.745652173911</v>
      </c>
      <c r="D38" s="128">
        <f t="shared" si="13"/>
        <v>5072.418173913042</v>
      </c>
      <c r="E38" s="128">
        <f t="shared" si="14"/>
        <v>5922.09069565217</v>
      </c>
      <c r="F38" s="128">
        <f t="shared" si="15"/>
        <v>6771.7632173913025</v>
      </c>
      <c r="G38" s="128">
        <f t="shared" si="16"/>
        <v>7621.435739130431</v>
      </c>
      <c r="H38" s="128">
        <f t="shared" si="17"/>
        <v>8471.108260869563</v>
      </c>
      <c r="I38" s="128">
        <f t="shared" si="18"/>
        <v>9320.780782608696</v>
      </c>
      <c r="J38" s="128">
        <f t="shared" si="19"/>
        <v>10170.453304347822</v>
      </c>
    </row>
    <row r="39" spans="1:10" ht="12.75">
      <c r="A39" s="118"/>
      <c r="B39" s="118"/>
      <c r="C39" s="118"/>
      <c r="D39" s="102"/>
      <c r="E39" s="102"/>
      <c r="F39" s="102"/>
      <c r="G39" s="102"/>
      <c r="H39" s="102"/>
      <c r="I39" s="102"/>
      <c r="J39" s="102"/>
    </row>
    <row r="40" spans="1:10" ht="12.75">
      <c r="A40" s="119"/>
      <c r="B40" s="119"/>
      <c r="C40" s="119"/>
      <c r="D40" s="111"/>
      <c r="E40" s="111"/>
      <c r="F40" s="111"/>
      <c r="G40" s="111"/>
      <c r="H40" s="111"/>
      <c r="I40" s="111"/>
      <c r="J40" s="111"/>
    </row>
    <row r="41" spans="1:10" ht="12.75">
      <c r="A41" s="163" t="s">
        <v>143</v>
      </c>
      <c r="B41" s="163"/>
      <c r="C41" s="163"/>
      <c r="D41" s="163"/>
      <c r="E41" s="163"/>
      <c r="F41" s="163"/>
      <c r="G41" s="163"/>
      <c r="H41" s="163"/>
      <c r="I41" s="163"/>
      <c r="J41" s="163"/>
    </row>
    <row r="42" spans="1:10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ht="12.75">
      <c r="A43" s="120" t="s">
        <v>142</v>
      </c>
      <c r="B43" s="120"/>
      <c r="C43" s="120"/>
      <c r="D43" s="120"/>
      <c r="E43" s="120"/>
      <c r="F43" s="120"/>
      <c r="G43" s="120"/>
      <c r="H43" s="120"/>
      <c r="I43" s="120"/>
      <c r="J43" s="120"/>
    </row>
    <row r="44" spans="1:10" ht="12.75">
      <c r="A44" s="117">
        <v>0.9</v>
      </c>
      <c r="B44" s="134">
        <f>(A44*$B$4)-$B$18</f>
        <v>90.65974543478296</v>
      </c>
      <c r="C44" s="134">
        <f>(A44*$C$4)-$C$18</f>
        <v>504.732267173913</v>
      </c>
      <c r="D44" s="134">
        <f>(A44*$D$4)-$D$18</f>
        <v>918.804788913043</v>
      </c>
      <c r="E44" s="134">
        <f>(A44*$E$4)-$E$18</f>
        <v>1332.877310652173</v>
      </c>
      <c r="F44" s="134">
        <f>(A44*$F$4)-$F$18</f>
        <v>1746.949832391303</v>
      </c>
      <c r="G44" s="134">
        <f>(A44*$G$4)-$G$18</f>
        <v>2161.022354130435</v>
      </c>
      <c r="H44" s="134">
        <f>(A44*$H$4)-$H$18</f>
        <v>2575.094875869565</v>
      </c>
      <c r="I44" s="134">
        <f>(A44*$I$4)-$I$18</f>
        <v>2989.167397608697</v>
      </c>
      <c r="J44" s="134">
        <f>(A44*$J$4)-$J$18</f>
        <v>3403.239919347825</v>
      </c>
    </row>
    <row r="45" spans="1:10" ht="12.75">
      <c r="A45" s="117">
        <v>0.95</v>
      </c>
      <c r="B45" s="134">
        <f aca="true" t="shared" si="20" ref="B45:B50">(A45*$B$4)-$B$18</f>
        <v>526.2597454347824</v>
      </c>
      <c r="C45" s="134">
        <f aca="true" t="shared" si="21" ref="C45:C50">(A45*$C$4)-$C$18</f>
        <v>1012.9322671739119</v>
      </c>
      <c r="D45" s="134">
        <f aca="true" t="shared" si="22" ref="D45:D50">(A45*$D$4)-$D$18</f>
        <v>1499.6047889130423</v>
      </c>
      <c r="E45" s="134">
        <f aca="true" t="shared" si="23" ref="E45:E50">(A45*$E$4)-$E$18</f>
        <v>1986.2773106521709</v>
      </c>
      <c r="F45" s="134">
        <f aca="true" t="shared" si="24" ref="F45:F50">(A45*$F$4)-$F$18</f>
        <v>2472.949832391303</v>
      </c>
      <c r="G45" s="134">
        <f aca="true" t="shared" si="25" ref="G45:G50">(A45*$G$4)-$G$18</f>
        <v>2959.6223541304335</v>
      </c>
      <c r="H45" s="134">
        <f aca="true" t="shared" si="26" ref="H45:H50">(A45*$H$4)-$H$18</f>
        <v>3446.294875869564</v>
      </c>
      <c r="I45" s="134">
        <f aca="true" t="shared" si="27" ref="I45:I50">(A45*$I$4)-$I$18</f>
        <v>3932.967397608696</v>
      </c>
      <c r="J45" s="134">
        <f aca="true" t="shared" si="28" ref="J45:J50">(A45*$J$4)-$J$18</f>
        <v>4419.639919347823</v>
      </c>
    </row>
    <row r="46" spans="1:10" ht="12.75">
      <c r="A46" s="117">
        <v>1</v>
      </c>
      <c r="B46" s="134">
        <f t="shared" si="20"/>
        <v>961.8597454347828</v>
      </c>
      <c r="C46" s="134">
        <f t="shared" si="21"/>
        <v>1521.1322671739126</v>
      </c>
      <c r="D46" s="134">
        <f t="shared" si="22"/>
        <v>2080.4047889130434</v>
      </c>
      <c r="E46" s="134">
        <f t="shared" si="23"/>
        <v>2639.6773106521723</v>
      </c>
      <c r="F46" s="134">
        <f t="shared" si="24"/>
        <v>3198.949832391303</v>
      </c>
      <c r="G46" s="134">
        <f t="shared" si="25"/>
        <v>3758.222354130434</v>
      </c>
      <c r="H46" s="134">
        <f t="shared" si="26"/>
        <v>4317.494875869565</v>
      </c>
      <c r="I46" s="134">
        <f t="shared" si="27"/>
        <v>4876.767397608695</v>
      </c>
      <c r="J46" s="134">
        <f t="shared" si="28"/>
        <v>5436.039919347824</v>
      </c>
    </row>
    <row r="47" spans="1:10" ht="12.75">
      <c r="A47" s="117">
        <v>1.05</v>
      </c>
      <c r="B47" s="134">
        <f t="shared" si="20"/>
        <v>1397.4597454347831</v>
      </c>
      <c r="C47" s="134">
        <f t="shared" si="21"/>
        <v>2029.3322671739134</v>
      </c>
      <c r="D47" s="134">
        <f t="shared" si="22"/>
        <v>2661.2047889130445</v>
      </c>
      <c r="E47" s="134">
        <f t="shared" si="23"/>
        <v>3293.0773106521738</v>
      </c>
      <c r="F47" s="134">
        <f t="shared" si="24"/>
        <v>3924.949832391303</v>
      </c>
      <c r="G47" s="134">
        <f t="shared" si="25"/>
        <v>4556.822354130436</v>
      </c>
      <c r="H47" s="134">
        <f t="shared" si="26"/>
        <v>5188.694875869565</v>
      </c>
      <c r="I47" s="134">
        <f t="shared" si="27"/>
        <v>5820.567397608695</v>
      </c>
      <c r="J47" s="134">
        <f t="shared" si="28"/>
        <v>6452.439919347826</v>
      </c>
    </row>
    <row r="48" spans="1:10" ht="12.75">
      <c r="A48" s="117">
        <v>1.1</v>
      </c>
      <c r="B48" s="134">
        <f t="shared" si="20"/>
        <v>1833.0597454347835</v>
      </c>
      <c r="C48" s="134">
        <f t="shared" si="21"/>
        <v>2537.532267173914</v>
      </c>
      <c r="D48" s="134">
        <f t="shared" si="22"/>
        <v>3242.0047889130437</v>
      </c>
      <c r="E48" s="134">
        <f t="shared" si="23"/>
        <v>3946.4773106521734</v>
      </c>
      <c r="F48" s="134">
        <f t="shared" si="24"/>
        <v>4650.949832391305</v>
      </c>
      <c r="G48" s="134">
        <f t="shared" si="25"/>
        <v>5355.4223541304345</v>
      </c>
      <c r="H48" s="134">
        <f t="shared" si="26"/>
        <v>6059.894875869566</v>
      </c>
      <c r="I48" s="134">
        <f t="shared" si="27"/>
        <v>6764.3673976086975</v>
      </c>
      <c r="J48" s="134">
        <f t="shared" si="28"/>
        <v>7468.839919347827</v>
      </c>
    </row>
    <row r="49" spans="1:10" ht="12.75">
      <c r="A49" s="117">
        <v>1.15</v>
      </c>
      <c r="B49" s="134">
        <f t="shared" si="20"/>
        <v>2268.659745434782</v>
      </c>
      <c r="C49" s="134">
        <f t="shared" si="21"/>
        <v>3045.732267173911</v>
      </c>
      <c r="D49" s="134">
        <f t="shared" si="22"/>
        <v>3822.804788913043</v>
      </c>
      <c r="E49" s="134">
        <f t="shared" si="23"/>
        <v>4599.877310652171</v>
      </c>
      <c r="F49" s="134">
        <f t="shared" si="24"/>
        <v>5376.949832391303</v>
      </c>
      <c r="G49" s="134">
        <f t="shared" si="25"/>
        <v>6154.022354130433</v>
      </c>
      <c r="H49" s="134">
        <f t="shared" si="26"/>
        <v>6931.094875869563</v>
      </c>
      <c r="I49" s="134">
        <f t="shared" si="27"/>
        <v>7708.167397608693</v>
      </c>
      <c r="J49" s="134">
        <f t="shared" si="28"/>
        <v>8485.239919347821</v>
      </c>
    </row>
    <row r="50" spans="1:10" ht="12.75">
      <c r="A50" s="117">
        <v>1.2</v>
      </c>
      <c r="B50" s="134">
        <f t="shared" si="20"/>
        <v>2704.2597454347824</v>
      </c>
      <c r="C50" s="134">
        <f t="shared" si="21"/>
        <v>3553.932267173912</v>
      </c>
      <c r="D50" s="134">
        <f t="shared" si="22"/>
        <v>4403.604788913042</v>
      </c>
      <c r="E50" s="134">
        <f t="shared" si="23"/>
        <v>5253.277310652171</v>
      </c>
      <c r="F50" s="134">
        <f t="shared" si="24"/>
        <v>6102.949832391303</v>
      </c>
      <c r="G50" s="134">
        <f t="shared" si="25"/>
        <v>6952.622354130432</v>
      </c>
      <c r="H50" s="134">
        <f t="shared" si="26"/>
        <v>7802.294875869564</v>
      </c>
      <c r="I50" s="134">
        <f t="shared" si="27"/>
        <v>8651.967397608696</v>
      </c>
      <c r="J50" s="134">
        <f t="shared" si="28"/>
        <v>9501.639919347823</v>
      </c>
    </row>
    <row r="51" spans="1:10" ht="12.75">
      <c r="A51" s="111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1"/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10" ht="12.75">
      <c r="A53" s="105" t="s">
        <v>144</v>
      </c>
      <c r="B53" s="105"/>
      <c r="C53" s="105"/>
      <c r="D53" s="105"/>
      <c r="E53" s="105"/>
      <c r="F53" s="105"/>
      <c r="G53" s="105"/>
      <c r="H53" s="105"/>
      <c r="I53" s="105"/>
      <c r="J53" s="105"/>
    </row>
    <row r="54" spans="1:10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</row>
    <row r="55" spans="1:10" ht="12.75">
      <c r="A55" s="120" t="s">
        <v>142</v>
      </c>
      <c r="B55" s="100"/>
      <c r="C55" s="100"/>
      <c r="D55" s="100"/>
      <c r="E55" s="100"/>
      <c r="F55" s="100"/>
      <c r="G55" s="100"/>
      <c r="H55" s="100"/>
      <c r="I55" s="100"/>
      <c r="J55" s="100"/>
    </row>
    <row r="56" spans="1:10" ht="12.75">
      <c r="A56" s="117">
        <v>0.9</v>
      </c>
      <c r="B56" s="134">
        <f>(A56*$B$4)-$B$24</f>
        <v>-2504.8846887739446</v>
      </c>
      <c r="C56" s="134">
        <f>(A56*$C$4)-$C$24</f>
        <v>-2090.8121670348155</v>
      </c>
      <c r="D56" s="134">
        <f>(A56*$D$4)-$D$24</f>
        <v>-1676.7396452956855</v>
      </c>
      <c r="E56" s="134">
        <f>(A56*$E$4)-$E$24</f>
        <v>-1262.6671235565555</v>
      </c>
      <c r="F56" s="134">
        <f>(A56*$F$4)-$F$24</f>
        <v>-848.5946018174254</v>
      </c>
      <c r="G56" s="134">
        <f>(A56*$G$4)-$G$24</f>
        <v>-434.5220800782936</v>
      </c>
      <c r="H56" s="134">
        <f>(A56*$H$4)-$H$24</f>
        <v>-20.44955833916356</v>
      </c>
      <c r="I56" s="134">
        <f>(A56*$I$4)-$I$24</f>
        <v>393.6229633999683</v>
      </c>
      <c r="J56" s="134">
        <f>(A56*$J$4)-$J$24</f>
        <v>807.6954851390947</v>
      </c>
    </row>
    <row r="57" spans="1:10" ht="12.75">
      <c r="A57" s="117">
        <v>0.95</v>
      </c>
      <c r="B57" s="134">
        <f aca="true" t="shared" si="29" ref="B57:B62">(A57*$B$4)-$B$24</f>
        <v>-2069.284688773945</v>
      </c>
      <c r="C57" s="134">
        <f aca="true" t="shared" si="30" ref="C57:C62">(A57*$C$4)-$C$24</f>
        <v>-1582.6121670348166</v>
      </c>
      <c r="D57" s="134">
        <f aca="true" t="shared" si="31" ref="D57:D62">(A57*$D$4)-$D$24</f>
        <v>-1095.9396452956862</v>
      </c>
      <c r="E57" s="134">
        <f aca="true" t="shared" si="32" ref="E57:E62">(A57*$E$4)-$E$24</f>
        <v>-609.2671235565576</v>
      </c>
      <c r="F57" s="134">
        <f aca="true" t="shared" si="33" ref="F57:F62">(A57*$F$4)-$F$24</f>
        <v>-122.59460181742543</v>
      </c>
      <c r="G57" s="134">
        <f aca="true" t="shared" si="34" ref="G57:G62">(A57*$G$4)-$G$24</f>
        <v>364.07791992170496</v>
      </c>
      <c r="H57" s="134">
        <f aca="true" t="shared" si="35" ref="H57:H62">(A57*$H$4)-$H$24</f>
        <v>850.7504416608353</v>
      </c>
      <c r="I57" s="134">
        <f aca="true" t="shared" si="36" ref="I57:I62">(A57*$I$4)-$I$24</f>
        <v>1337.4229633999676</v>
      </c>
      <c r="J57" s="134">
        <f aca="true" t="shared" si="37" ref="J57:J62">(A57*$J$4)-$J$24</f>
        <v>1824.0954851390925</v>
      </c>
    </row>
    <row r="58" spans="1:10" ht="12.75">
      <c r="A58" s="117">
        <v>1</v>
      </c>
      <c r="B58" s="134">
        <f t="shared" si="29"/>
        <v>-1633.6846887739448</v>
      </c>
      <c r="C58" s="134">
        <f t="shared" si="30"/>
        <v>-1074.4121670348159</v>
      </c>
      <c r="D58" s="134">
        <f t="shared" si="31"/>
        <v>-515.1396452956851</v>
      </c>
      <c r="E58" s="134">
        <f t="shared" si="32"/>
        <v>44.13287644344382</v>
      </c>
      <c r="F58" s="134">
        <f t="shared" si="33"/>
        <v>603.4053981825746</v>
      </c>
      <c r="G58" s="134">
        <f t="shared" si="34"/>
        <v>1162.6779199217053</v>
      </c>
      <c r="H58" s="134">
        <f t="shared" si="35"/>
        <v>1721.950441660836</v>
      </c>
      <c r="I58" s="134">
        <f t="shared" si="36"/>
        <v>2281.222963399967</v>
      </c>
      <c r="J58" s="134">
        <f t="shared" si="37"/>
        <v>2840.495485139094</v>
      </c>
    </row>
    <row r="59" spans="1:10" ht="12.75">
      <c r="A59" s="117">
        <v>1.05</v>
      </c>
      <c r="B59" s="134">
        <f t="shared" si="29"/>
        <v>-1198.0846887739444</v>
      </c>
      <c r="C59" s="134">
        <f t="shared" si="30"/>
        <v>-566.2121670348151</v>
      </c>
      <c r="D59" s="134">
        <f t="shared" si="31"/>
        <v>65.66035470431598</v>
      </c>
      <c r="E59" s="134">
        <f t="shared" si="32"/>
        <v>697.5328764434453</v>
      </c>
      <c r="F59" s="134">
        <f t="shared" si="33"/>
        <v>1329.4053981825746</v>
      </c>
      <c r="G59" s="134">
        <f t="shared" si="34"/>
        <v>1961.2779199217075</v>
      </c>
      <c r="H59" s="134">
        <f t="shared" si="35"/>
        <v>2593.150441660837</v>
      </c>
      <c r="I59" s="134">
        <f t="shared" si="36"/>
        <v>3225.022963399966</v>
      </c>
      <c r="J59" s="134">
        <f t="shared" si="37"/>
        <v>3856.8954851390954</v>
      </c>
    </row>
    <row r="60" spans="1:10" ht="12.75">
      <c r="A60" s="117">
        <v>1.1</v>
      </c>
      <c r="B60" s="134">
        <f t="shared" si="29"/>
        <v>-762.4846887739441</v>
      </c>
      <c r="C60" s="134">
        <f t="shared" si="30"/>
        <v>-58.01216703481441</v>
      </c>
      <c r="D60" s="134">
        <f t="shared" si="31"/>
        <v>646.4603547043153</v>
      </c>
      <c r="E60" s="134">
        <f t="shared" si="32"/>
        <v>1350.932876443445</v>
      </c>
      <c r="F60" s="134">
        <f t="shared" si="33"/>
        <v>2055.4053981825764</v>
      </c>
      <c r="G60" s="134">
        <f t="shared" si="34"/>
        <v>2759.877919921706</v>
      </c>
      <c r="H60" s="134">
        <f t="shared" si="35"/>
        <v>3464.3504416608375</v>
      </c>
      <c r="I60" s="134">
        <f t="shared" si="36"/>
        <v>4168.822963399969</v>
      </c>
      <c r="J60" s="134">
        <f t="shared" si="37"/>
        <v>4873.295485139097</v>
      </c>
    </row>
    <row r="61" spans="1:10" ht="12.75">
      <c r="A61" s="117">
        <v>1.15</v>
      </c>
      <c r="B61" s="134">
        <f t="shared" si="29"/>
        <v>-326.8846887739455</v>
      </c>
      <c r="C61" s="134">
        <f t="shared" si="30"/>
        <v>450.1878329651827</v>
      </c>
      <c r="D61" s="134">
        <f t="shared" si="31"/>
        <v>1227.2603547043145</v>
      </c>
      <c r="E61" s="134">
        <f t="shared" si="32"/>
        <v>2004.3328764434427</v>
      </c>
      <c r="F61" s="134">
        <f t="shared" si="33"/>
        <v>2781.4053981825746</v>
      </c>
      <c r="G61" s="134">
        <f t="shared" si="34"/>
        <v>3558.4779199217046</v>
      </c>
      <c r="H61" s="134">
        <f t="shared" si="35"/>
        <v>4335.550441660835</v>
      </c>
      <c r="I61" s="134">
        <f t="shared" si="36"/>
        <v>5112.622963399965</v>
      </c>
      <c r="J61" s="134">
        <f t="shared" si="37"/>
        <v>5889.695485139091</v>
      </c>
    </row>
    <row r="62" spans="1:10" ht="12.75">
      <c r="A62" s="117">
        <v>1.2</v>
      </c>
      <c r="B62" s="134">
        <f t="shared" si="29"/>
        <v>108.71531122605484</v>
      </c>
      <c r="C62" s="134">
        <f t="shared" si="30"/>
        <v>958.3878329651834</v>
      </c>
      <c r="D62" s="134">
        <f t="shared" si="31"/>
        <v>1808.0603547043138</v>
      </c>
      <c r="E62" s="134">
        <f t="shared" si="32"/>
        <v>2657.7328764434424</v>
      </c>
      <c r="F62" s="134">
        <f t="shared" si="33"/>
        <v>3507.4053981825746</v>
      </c>
      <c r="G62" s="134">
        <f t="shared" si="34"/>
        <v>4357.077919921703</v>
      </c>
      <c r="H62" s="134">
        <f t="shared" si="35"/>
        <v>5206.750441660835</v>
      </c>
      <c r="I62" s="134">
        <f t="shared" si="36"/>
        <v>6056.422963399968</v>
      </c>
      <c r="J62" s="134">
        <f t="shared" si="37"/>
        <v>6906.0954851390925</v>
      </c>
    </row>
    <row r="63" spans="1:10" ht="12.75">
      <c r="A63" s="102"/>
      <c r="B63" s="102"/>
      <c r="C63" s="102"/>
      <c r="D63" s="102"/>
      <c r="E63" s="102"/>
      <c r="F63" s="102"/>
      <c r="G63" s="102"/>
      <c r="H63" s="102"/>
      <c r="I63" s="102"/>
      <c r="J63" s="102"/>
    </row>
  </sheetData>
  <mergeCells count="4">
    <mergeCell ref="A1:J1"/>
    <mergeCell ref="B5:J5"/>
    <mergeCell ref="A29:J29"/>
    <mergeCell ref="A41:J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</dc:creator>
  <cp:keywords/>
  <dc:description/>
  <cp:lastModifiedBy>Eta Takele</cp:lastModifiedBy>
  <dcterms:created xsi:type="dcterms:W3CDTF">2003-12-19T22:11:59Z</dcterms:created>
  <dcterms:modified xsi:type="dcterms:W3CDTF">2006-06-06T21:40:09Z</dcterms:modified>
  <cp:category/>
  <cp:version/>
  <cp:contentType/>
  <cp:contentStatus/>
</cp:coreProperties>
</file>